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60" yWindow="1620" windowWidth="19155" windowHeight="7440" tabRatio="624" activeTab="0"/>
  </bookViews>
  <sheets>
    <sheet name="P.Index" sheetId="1" r:id="rId1"/>
    <sheet name="P.Readme" sheetId="2" r:id="rId2"/>
    <sheet name="Participant" sheetId="3" r:id="rId3"/>
    <sheet name="Baseline_&amp;_Adverse_Scenario" sheetId="4" r:id="rId4"/>
    <sheet name="Overview" sheetId="5" r:id="rId5"/>
    <sheet name="CF_Analysis" sheetId="6" r:id="rId6"/>
    <sheet name="QQ_Questionnaire" sheetId="7" r:id="rId7"/>
    <sheet name="Warnings" sheetId="8" r:id="rId8"/>
  </sheets>
  <definedNames>
    <definedName name="Version">'P.Index'!$D$1</definedName>
  </definedNames>
  <calcPr fullCalcOnLoad="1"/>
</workbook>
</file>

<file path=xl/comments3.xml><?xml version="1.0" encoding="utf-8"?>
<comments xmlns="http://schemas.openxmlformats.org/spreadsheetml/2006/main">
  <authors>
    <author>Author</author>
  </authors>
  <commentList>
    <comment ref="C14" authorId="0">
      <text>
        <r>
          <rPr>
            <sz val="9"/>
            <rFont val="Tahoma"/>
            <family val="2"/>
          </rPr>
          <t>It is not allowed to report in currency unit (only in thousands or millions of currency units).</t>
        </r>
      </text>
    </comment>
    <comment ref="C10" authorId="0">
      <text>
        <r>
          <rPr>
            <sz val="9"/>
            <rFont val="Tahoma"/>
            <family val="2"/>
          </rPr>
          <t xml:space="preserve">Unique 6-characters code (may contain numbers and letters) assigned by the NSA at the national level. This unique identifier will remain constant throughout the 2017 IORPs ST exercise.
</t>
        </r>
      </text>
    </comment>
  </commentList>
</comments>
</file>

<file path=xl/comments4.xml><?xml version="1.0" encoding="utf-8"?>
<comments xmlns="http://schemas.openxmlformats.org/spreadsheetml/2006/main">
  <authors>
    <author>Author</author>
  </authors>
  <commentList>
    <comment ref="C138" authorId="0">
      <text>
        <r>
          <rPr>
            <sz val="9"/>
            <rFont val="Tahoma"/>
            <family val="2"/>
          </rPr>
          <t>Assets or liabilities (excl. subordinated loans).</t>
        </r>
      </text>
    </comment>
    <comment ref="C137" authorId="0">
      <text>
        <r>
          <rPr>
            <sz val="9"/>
            <rFont val="Tahoma"/>
            <family val="2"/>
          </rPr>
          <t>Including the requirement on top of liabilities according to current regime.</t>
        </r>
      </text>
    </comment>
    <comment ref="C12" authorId="0">
      <text>
        <r>
          <rPr>
            <sz val="9"/>
            <rFont val="Tahoma"/>
            <family val="2"/>
          </rPr>
          <t>Property for own use, like property used by the IORP as office for its employees, and not for own use, including direct/indirect, listed/non-listed real estate investments. 
The breakdown of property (including for own use) should be in accordance with paragraph 3.29 of the IORP Stress Test 2017 Specifications, i.e. with the breakdown used for assessing the impact of the property stresses.</t>
        </r>
      </text>
    </comment>
    <comment ref="C19" authorId="0">
      <text>
        <r>
          <rPr>
            <sz val="9"/>
            <rFont val="Tahoma"/>
            <family val="2"/>
          </rPr>
          <t>Shares representing corporations' capital, e.g. representing ownership in a corporation, listed on a public stock exchange (excluding participations).</t>
        </r>
      </text>
    </comment>
    <comment ref="C24" authorId="0">
      <text>
        <r>
          <rPr>
            <sz val="9"/>
            <rFont val="Tahoma"/>
            <family val="2"/>
          </rPr>
          <t>Shares representing corporations' capital, e.g. representing ownership in a corporation, not listed on a public stock exchange. This category includes participations.</t>
        </r>
      </text>
    </comment>
    <comment ref="C29" authorId="0">
      <text>
        <r>
          <rPr>
            <sz val="9"/>
            <rFont val="Tahoma"/>
            <family val="2"/>
          </rPr>
          <t>Bonds issued by public authorities, whether by central governments, supra-national government institutions, regional governments or municipal governments.</t>
        </r>
      </text>
    </comment>
    <comment ref="C33" authorId="0">
      <text>
        <r>
          <rPr>
            <sz val="9"/>
            <rFont val="Tahoma"/>
            <family val="2"/>
          </rPr>
          <t>Bonds issued by non-financial corporations, excluding hybrid securities combining a fixed income and derivative component.</t>
        </r>
      </text>
    </comment>
    <comment ref="C34" authorId="0">
      <text>
        <r>
          <rPr>
            <sz val="9"/>
            <rFont val="Tahoma"/>
            <family val="2"/>
          </rPr>
          <t>Bonds issued by financial institutions, excluding hybrid securities combining a fixed income and derivative component.</t>
        </r>
      </text>
    </comment>
    <comment ref="C35" authorId="0">
      <text>
        <r>
          <rPr>
            <sz val="9"/>
            <rFont val="Tahoma"/>
            <family val="2"/>
          </rPr>
          <t>Bonds issued by a credit institution which has its registered office in a Member State and subject by law to special public supervision to protect bond-holders. In particular, sums deriving from the issue of these bonds must be invested in conformity with the law in assets which, during the whole period of validity of the bonds, are capable of covering claims attaching to the bonds and which, in the event of failure of the issuer, would be used on a priority basis for the reimbursement of the principal and payment of the accrued interest.” (Article 52(4), UCITS Directive)</t>
        </r>
      </text>
    </comment>
    <comment ref="C36" authorId="0">
      <text>
        <r>
          <rPr>
            <sz val="9"/>
            <rFont val="Tahoma"/>
            <family val="2"/>
          </rPr>
          <t>Financial corporate bonds other than covered bonds.</t>
        </r>
      </text>
    </comment>
    <comment ref="C37" authorId="0">
      <text>
        <r>
          <rPr>
            <sz val="9"/>
            <rFont val="Tahoma"/>
            <family val="2"/>
          </rPr>
          <t xml:space="preserve">Hybrid securities, combining a fixed income instrument with a series of derivative components. Excluded from this category are fixed income securities issued by sovereign governments. Concerns securities that have embedded any categories of derivatives. </t>
        </r>
      </text>
    </comment>
    <comment ref="C38" authorId="0">
      <text>
        <r>
          <rPr>
            <sz val="9"/>
            <rFont val="Tahoma"/>
            <family val="2"/>
          </rPr>
          <t xml:space="preserve">Securities whose value and payments are derived from a portfolio of underlying assets. Includes Asset Backed Securities (ABS), Mortgage Backed Securities (MBS) Collateralised Debt Obligations (CDO), Collateralised Loan Obligation (CLO) and Collateralised Mortgage Obligations (CMO). </t>
        </r>
      </text>
    </comment>
    <comment ref="C39" authorId="0">
      <text>
        <r>
          <rPr>
            <sz val="9"/>
            <rFont val="Tahoma"/>
            <family val="2"/>
          </rPr>
          <t>Financial assets created when IORPs lend funds, with collateral or not. Excludes loans and mortgages to members and beneficiaries.</t>
        </r>
      </text>
    </comment>
    <comment ref="C42" authorId="0">
      <text>
        <r>
          <rPr>
            <sz val="9"/>
            <rFont val="Tahoma"/>
            <family val="2"/>
          </rPr>
          <t xml:space="preserve">A financial instrument or other contract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non-financial variable that the variable is not specific to a party to the contract.
(b) It requires no initial net investment or an initial  net investment that is smaller than would be required for other types of contracts that would be expected to have a similar response to changes in market factors.
(c) Is setlled at a future date. </t>
        </r>
      </text>
    </comment>
    <comment ref="C43" authorId="0">
      <text>
        <r>
          <rPr>
            <sz val="9"/>
            <rFont val="Tahoma"/>
            <family val="2"/>
          </rPr>
          <t>Deposits and cash equivalents that cannot be used to make payments until before a specific maturity date and that are not exchangeable for currency or transferable deposits without any kind of significant restriction or penalty.</t>
        </r>
      </text>
    </comment>
    <comment ref="C44" authorId="0">
      <text>
        <r>
          <rPr>
            <sz val="9"/>
            <rFont val="Tahoma"/>
            <family val="2"/>
          </rPr>
          <t xml:space="preserve">Investment funds for which the look-through approach couldn't be applied.
</t>
        </r>
      </text>
    </comment>
    <comment ref="C78" authorId="0">
      <text>
        <r>
          <rPr>
            <sz val="9"/>
            <rFont val="Tahoma"/>
            <family val="2"/>
          </rPr>
          <t>Including loans and mortgages to members and beneficiaries.</t>
        </r>
      </text>
    </comment>
    <comment ref="C85" authorId="0">
      <text>
        <r>
          <rPr>
            <sz val="9"/>
            <rFont val="Tahoma"/>
            <family val="2"/>
          </rPr>
          <t>Notes and coin in circulation that are commonly used to make payments, and deposits exchangeable for currency on demand at par and which are directly usable for making payments by cheque, draft, giro order, direct debit/credit, or other direct payment facility, without penalty or restriction.</t>
        </r>
      </text>
    </comment>
    <comment ref="C103" authorId="0">
      <text>
        <r>
          <rPr>
            <sz val="9"/>
            <rFont val="Tahoma"/>
            <family val="2"/>
          </rPr>
          <t>Excluding subordinated loans</t>
        </r>
      </text>
    </comment>
    <comment ref="C10" authorId="0">
      <text>
        <r>
          <rPr>
            <sz val="9"/>
            <rFont val="Tahoma"/>
            <family val="2"/>
          </rPr>
          <t>To be completed with market consistent values of assets on the common balance sheet, in accordance with section 2.12 of the Annex with Technical Specifications Common Balance Sheet.</t>
        </r>
      </text>
    </comment>
    <comment ref="C94" authorId="0">
      <text>
        <r>
          <rPr>
            <sz val="9"/>
            <rFont val="Tahoma"/>
            <family val="2"/>
          </rPr>
          <t>Should be entered with a negative sign.</t>
        </r>
      </text>
    </comment>
    <comment ref="C96" authorId="0">
      <text>
        <r>
          <rPr>
            <sz val="9"/>
            <rFont val="Tahoma"/>
            <family val="2"/>
          </rPr>
          <t>Should be entered with a negative sign.</t>
        </r>
      </text>
    </comment>
    <comment ref="C97" authorId="0">
      <text>
        <r>
          <rPr>
            <sz val="9"/>
            <rFont val="Tahoma"/>
            <family val="2"/>
          </rPr>
          <t>Should be entered with a negative sign.</t>
        </r>
      </text>
    </comment>
    <comment ref="D54" authorId="0">
      <text>
        <r>
          <rPr>
            <sz val="9"/>
            <rFont val="Tahoma"/>
            <family val="2"/>
          </rPr>
          <t xml:space="preserve">Duration may be based on effective yield to maturity and/or spot rate curve.
</t>
        </r>
      </text>
    </comment>
    <comment ref="C106" authorId="0">
      <text>
        <r>
          <rPr>
            <sz val="9"/>
            <rFont val="Tahoma"/>
            <family val="2"/>
          </rPr>
          <t xml:space="preserve">Duration based on the risk-free interest rate spot curve. IORPs which do not report unconditional benefits on the common balance sheet but rather pure conditional benefits with an ex ante benefit reduction mechanism should calculate the duration based on the cash-flows for pure conditional benefits excluding the ex ante benefit reduction mechanism. 
</t>
        </r>
      </text>
    </comment>
    <comment ref="C126" authorId="0">
      <text>
        <r>
          <rPr>
            <sz val="9"/>
            <rFont val="Tahoma"/>
            <family val="2"/>
          </rPr>
          <t xml:space="preserve">Duration may be based on effective yield to maturity and/or spot rate curve.
</t>
        </r>
      </text>
    </comment>
  </commentList>
</comments>
</file>

<file path=xl/comments6.xml><?xml version="1.0" encoding="utf-8"?>
<comments xmlns="http://schemas.openxmlformats.org/spreadsheetml/2006/main">
  <authors>
    <author>Author</author>
  </authors>
  <commentList>
    <comment ref="H18" authorId="0">
      <text>
        <r>
          <rPr>
            <sz val="9"/>
            <rFont val="Tahoma"/>
            <family val="2"/>
          </rPr>
          <t>IORPs may provide aggregated cash-flows directly if separation between benefits and expenses is too burdensome.</t>
        </r>
      </text>
    </comment>
    <comment ref="J18" authorId="0">
      <text>
        <r>
          <rPr>
            <sz val="9"/>
            <rFont val="Tahoma"/>
            <family val="2"/>
          </rPr>
          <t>IORPs may provide net cash-flows directly if separation between cash in-flows and out-flows is too burdensome.</t>
        </r>
      </text>
    </comment>
    <comment ref="P18" authorId="0">
      <text>
        <r>
          <rPr>
            <sz val="9"/>
            <rFont val="Tahoma"/>
            <family val="2"/>
          </rPr>
          <t>IORPs may provide aggregated cash-flows directly if separation between benefits and expenses is too burdensome.</t>
        </r>
      </text>
    </comment>
    <comment ref="R18" authorId="0">
      <text>
        <r>
          <rPr>
            <sz val="9"/>
            <rFont val="Tahoma"/>
            <family val="2"/>
          </rPr>
          <t>IORPs may provide net cash-flows directly if separation between cash in-flows and out-flows is too burdensome.</t>
        </r>
      </text>
    </comment>
  </commentList>
</comments>
</file>

<file path=xl/sharedStrings.xml><?xml version="1.0" encoding="utf-8"?>
<sst xmlns="http://schemas.openxmlformats.org/spreadsheetml/2006/main" count="3709" uniqueCount="565">
  <si>
    <t>#</t>
  </si>
  <si>
    <t>Content</t>
  </si>
  <si>
    <t>Sheet</t>
  </si>
  <si>
    <t>GoTo</t>
  </si>
  <si>
    <t>This sheet</t>
  </si>
  <si>
    <t>P.Index</t>
  </si>
  <si>
    <t>P.Readme</t>
  </si>
  <si>
    <t>Participant</t>
  </si>
  <si>
    <t>Participant information</t>
  </si>
  <si>
    <t>-</t>
  </si>
  <si>
    <t>Date of submission</t>
  </si>
  <si>
    <t>Reporting reference year</t>
  </si>
  <si>
    <t>Year end used</t>
  </si>
  <si>
    <t>Reporting currency used</t>
  </si>
  <si>
    <t>Reporting unit used</t>
  </si>
  <si>
    <t>Country</t>
  </si>
  <si>
    <t>National supervisor</t>
  </si>
  <si>
    <t>Contact information</t>
  </si>
  <si>
    <t>Name of institution</t>
  </si>
  <si>
    <t>Position / title</t>
  </si>
  <si>
    <t>Phone number</t>
  </si>
  <si>
    <t>E-mail address</t>
  </si>
  <si>
    <t>Institution name</t>
  </si>
  <si>
    <t>Name of contact person</t>
  </si>
  <si>
    <t>Total</t>
  </si>
  <si>
    <t>Other liabilities</t>
  </si>
  <si>
    <t>Total liabilities</t>
  </si>
  <si>
    <t>Sponsor support</t>
  </si>
  <si>
    <t>Other assets</t>
  </si>
  <si>
    <t>Total assets</t>
  </si>
  <si>
    <t>Surplus (minimum)</t>
  </si>
  <si>
    <t>Subordinated loans</t>
  </si>
  <si>
    <t>Assets</t>
  </si>
  <si>
    <t>Liabilities</t>
  </si>
  <si>
    <t>Investments (other than assets held for pure DC)</t>
  </si>
  <si>
    <t>Property (including for own use)</t>
  </si>
  <si>
    <t>Equities</t>
  </si>
  <si>
    <t>Excess of assets over liabilities</t>
  </si>
  <si>
    <t>Risk margin</t>
  </si>
  <si>
    <t>Derivatives</t>
  </si>
  <si>
    <t>Other investments</t>
  </si>
  <si>
    <t>Deferred tax assets</t>
  </si>
  <si>
    <t>Deferred tax liabilities</t>
  </si>
  <si>
    <t>Other assets (excluding pure DC)</t>
  </si>
  <si>
    <t>Intangible assets</t>
  </si>
  <si>
    <t>Own shares</t>
  </si>
  <si>
    <t>Called-up, but unpaid capital</t>
  </si>
  <si>
    <t>Members and beneficiaries debtors</t>
  </si>
  <si>
    <t>Deposits to cedants</t>
  </si>
  <si>
    <t>Insurance &amp; intermediaries receivables</t>
  </si>
  <si>
    <t>of which due for more than 3 months</t>
  </si>
  <si>
    <t>Receivables (trade, not insurance)</t>
  </si>
  <si>
    <t>Payables</t>
  </si>
  <si>
    <t>Cash and cash equivalents</t>
  </si>
  <si>
    <t>Contingent liabilities</t>
  </si>
  <si>
    <t>Any other assets, not elsewhere shown</t>
  </si>
  <si>
    <t>Any other liabilities not elsewhere shown</t>
  </si>
  <si>
    <t>EUR</t>
  </si>
  <si>
    <t>GBP</t>
  </si>
  <si>
    <t>NOK</t>
  </si>
  <si>
    <t>SEK</t>
  </si>
  <si>
    <t>Yes</t>
  </si>
  <si>
    <t>Belgium</t>
  </si>
  <si>
    <t>No</t>
  </si>
  <si>
    <t>Germany</t>
  </si>
  <si>
    <t>Ireland</t>
  </si>
  <si>
    <t>Norway</t>
  </si>
  <si>
    <t>Portugal</t>
  </si>
  <si>
    <t>Sweden</t>
  </si>
  <si>
    <t>UK</t>
  </si>
  <si>
    <t>(Re-)insurance and SPV recoverables</t>
  </si>
  <si>
    <t>Deposits to cedants and (re-)insurance receivables</t>
  </si>
  <si>
    <t>(Re-)insurance receivables</t>
  </si>
  <si>
    <t>Input cell</t>
  </si>
  <si>
    <t>Calculated cell</t>
  </si>
  <si>
    <t>Main results</t>
  </si>
  <si>
    <t>Other</t>
  </si>
  <si>
    <t>Pension protection scheme</t>
  </si>
  <si>
    <t>Assets held for pure DC</t>
  </si>
  <si>
    <t>Ex post benefit reductions</t>
  </si>
  <si>
    <t>Investments</t>
  </si>
  <si>
    <t>National balance sheet</t>
  </si>
  <si>
    <t>Residual investment funds</t>
  </si>
  <si>
    <t>Best estimate of technical provisions (excl. pure DC)</t>
  </si>
  <si>
    <t>Pure DC liabilities</t>
  </si>
  <si>
    <t>Other liabilities (excl. subordinated loans)</t>
  </si>
  <si>
    <t>Gross technical provisions</t>
  </si>
  <si>
    <t>Net technical provisions</t>
  </si>
  <si>
    <t>Surplus (higher or unique)</t>
  </si>
  <si>
    <t>Baseline</t>
  </si>
  <si>
    <t>Total investments</t>
  </si>
  <si>
    <t>Level</t>
  </si>
  <si>
    <t xml:space="preserve">Other </t>
  </si>
  <si>
    <t>Non-legally enforceable sponsor support</t>
  </si>
  <si>
    <t>of which: ex ante benefit reductions</t>
  </si>
  <si>
    <t>DKK</t>
  </si>
  <si>
    <t>equities listed</t>
  </si>
  <si>
    <t>Bonds</t>
  </si>
  <si>
    <t>non-financial corporate bonds</t>
  </si>
  <si>
    <t>financial corporate bonds</t>
  </si>
  <si>
    <t>non-covered bonds</t>
  </si>
  <si>
    <t>mortgages</t>
  </si>
  <si>
    <t>loans</t>
  </si>
  <si>
    <t>covered bonds</t>
  </si>
  <si>
    <t>Europe</t>
  </si>
  <si>
    <t>US</t>
  </si>
  <si>
    <t>Loans and mortgages</t>
  </si>
  <si>
    <t>Corporate bonds</t>
  </si>
  <si>
    <t>(Re-)insurance recoverables</t>
  </si>
  <si>
    <t>- change in value investments</t>
  </si>
  <si>
    <t>- change in value sponsor support</t>
  </si>
  <si>
    <t>- change in value pension protection schemes</t>
  </si>
  <si>
    <t>- change in value (re-)insurance recoverables</t>
  </si>
  <si>
    <t>- change in value other assets</t>
  </si>
  <si>
    <t>- change in value best estimate technical provisions</t>
  </si>
  <si>
    <t>- change in value risk margin</t>
  </si>
  <si>
    <t>- change in value other liabilities</t>
  </si>
  <si>
    <t xml:space="preserve">Funding requirement (higher or unique) </t>
  </si>
  <si>
    <t>Value of items eligible to cover current funding requirements</t>
  </si>
  <si>
    <t>Funding requirement (minimum, if more than one exists)</t>
  </si>
  <si>
    <t>Deposits other than cash equivalents</t>
  </si>
  <si>
    <t>Baseline scenario</t>
  </si>
  <si>
    <t>National funding requirement (higher or unique)</t>
  </si>
  <si>
    <t>Decomposition change in excess of assets over liabilities and surplus over funding requirement compared to baseline</t>
  </si>
  <si>
    <t>Change in excess of assets over liabilities (= scenario minus baseline)</t>
  </si>
  <si>
    <t>Change in surplus over national funding requirement</t>
  </si>
  <si>
    <t>National funding requirement (minimum)</t>
  </si>
  <si>
    <t>Denmark</t>
  </si>
  <si>
    <t>Check</t>
  </si>
  <si>
    <t xml:space="preserve">Pure defined contribution </t>
  </si>
  <si>
    <t>Open</t>
  </si>
  <si>
    <t>Closed to new members</t>
  </si>
  <si>
    <t>Closed to new accruals</t>
  </si>
  <si>
    <t>Regulatory own funds / buffer capital</t>
  </si>
  <si>
    <t>Increases in contributions - employer</t>
  </si>
  <si>
    <t>Increases in contributions - employee</t>
  </si>
  <si>
    <t>Subsidiary liability of the sponsor</t>
  </si>
  <si>
    <t>Contingent assets of the sponsor</t>
  </si>
  <si>
    <t>Claims on the sponsor</t>
  </si>
  <si>
    <t>X</t>
  </si>
  <si>
    <t>Ex ante benefit reductions</t>
  </si>
  <si>
    <t>Legally enforceable sponsor support - unlimited</t>
  </si>
  <si>
    <t>Legally enforceable sponsor support - limited</t>
  </si>
  <si>
    <t>Applied stresses for individual countries</t>
  </si>
  <si>
    <t>Applied aggregate Euro area/European stresses (simplification)</t>
  </si>
  <si>
    <t>Applied combination of individual &amp; aggregate stresses (simplification)</t>
  </si>
  <si>
    <t>Austria (AT)</t>
  </si>
  <si>
    <t>Belgium (BE)</t>
  </si>
  <si>
    <t>Bulgaria (BG)</t>
  </si>
  <si>
    <t>Cyprus (CY)</t>
  </si>
  <si>
    <t>Czech Republic (CZ)</t>
  </si>
  <si>
    <t>Germany (DE)</t>
  </si>
  <si>
    <t>Denmark (DK)</t>
  </si>
  <si>
    <t>Spain (ES)</t>
  </si>
  <si>
    <t>Finland (FI)</t>
  </si>
  <si>
    <t>France (FR)</t>
  </si>
  <si>
    <t>Greece (GR)</t>
  </si>
  <si>
    <t>Croatia (HR)</t>
  </si>
  <si>
    <t>Hungary (HU)</t>
  </si>
  <si>
    <t>Ireland (IE)</t>
  </si>
  <si>
    <t>Italy (IT)</t>
  </si>
  <si>
    <t>Lithuania (LT)</t>
  </si>
  <si>
    <t>Luxembourg (LU)</t>
  </si>
  <si>
    <t>Latvia (LV)</t>
  </si>
  <si>
    <t>Malta (MT)</t>
  </si>
  <si>
    <t>Netherlands (NL)</t>
  </si>
  <si>
    <t>Poland (PL)</t>
  </si>
  <si>
    <t>Portugal (PT)</t>
  </si>
  <si>
    <t>Romania (RO)</t>
  </si>
  <si>
    <t>Sweden (SE)</t>
  </si>
  <si>
    <t>Slovenia (SI)</t>
  </si>
  <si>
    <t>Slovakia (SK)</t>
  </si>
  <si>
    <t>United Kingdom (UK)</t>
  </si>
  <si>
    <t>Individual stresses</t>
  </si>
  <si>
    <t>Euro area aggregate</t>
  </si>
  <si>
    <t>Europe aggregate</t>
  </si>
  <si>
    <t>Applied standard stresses</t>
  </si>
  <si>
    <t>Applied simplified stresses for broad corporate bond aggregates</t>
  </si>
  <si>
    <t>Applied combination of standard stresses and simplification</t>
  </si>
  <si>
    <t>AAA</t>
  </si>
  <si>
    <t>AA</t>
  </si>
  <si>
    <t>A</t>
  </si>
  <si>
    <t>BBB</t>
  </si>
  <si>
    <t>BB</t>
  </si>
  <si>
    <t>Non-financial corporate bonds</t>
  </si>
  <si>
    <t>Financial corporate bonds</t>
  </si>
  <si>
    <t>Investment grade</t>
  </si>
  <si>
    <t>High yield</t>
  </si>
  <si>
    <t>Stochastic valuation</t>
  </si>
  <si>
    <t>Deterministic valuation</t>
  </si>
  <si>
    <t>Not applicable</t>
  </si>
  <si>
    <t>Balancing item approach</t>
  </si>
  <si>
    <t>Simplification 3 - Val. sponsor support</t>
  </si>
  <si>
    <t>Simplification 2 - Val. sponsor support</t>
  </si>
  <si>
    <t>Simplification 1 - Val. sponsor support</t>
  </si>
  <si>
    <t>Simplification - Value of PPS</t>
  </si>
  <si>
    <t>THOUSANDS</t>
  </si>
  <si>
    <t>MILLIONS</t>
  </si>
  <si>
    <t>Austria</t>
  </si>
  <si>
    <t>Cyprus</t>
  </si>
  <si>
    <t>Finland</t>
  </si>
  <si>
    <t>Italy</t>
  </si>
  <si>
    <t>Luxembourg</t>
  </si>
  <si>
    <t>Netherlands</t>
  </si>
  <si>
    <t>Slovenia</t>
  </si>
  <si>
    <t>Spain</t>
  </si>
  <si>
    <t>% change compared to baseline</t>
  </si>
  <si>
    <t>1. EBITDA</t>
  </si>
  <si>
    <t>2. Profits before taxes (PBT)</t>
  </si>
  <si>
    <t>3. Net income</t>
  </si>
  <si>
    <t>4. Other if deemed more appropriate (please specify)</t>
  </si>
  <si>
    <t>Investments (incl. pure DC)</t>
  </si>
  <si>
    <t>Best estimate technical provisions (incl. pure DC)</t>
  </si>
  <si>
    <t>unconditional benefits</t>
  </si>
  <si>
    <t>ex post benefit reductions/reductions in case of sponsor default</t>
  </si>
  <si>
    <t>non-unconditional benefits (incl. pure DC)</t>
  </si>
  <si>
    <t>of which: unconditional benefits</t>
  </si>
  <si>
    <t>of which: non-unconditional benefits</t>
  </si>
  <si>
    <t>of which: ex post benefit reductions/reductions sponsor default</t>
  </si>
  <si>
    <t>- change in buffer/capital requirement (=  funding requirement - liabilities)</t>
  </si>
  <si>
    <t>Cell</t>
  </si>
  <si>
    <t>Status</t>
  </si>
  <si>
    <t>Alert</t>
  </si>
  <si>
    <t>Institution abbreviation</t>
  </si>
  <si>
    <t>1) Scope</t>
  </si>
  <si>
    <t>2) Colors</t>
  </si>
  <si>
    <t>An entry cell for participants</t>
  </si>
  <si>
    <t xml:space="preserve">A cell containing a formula </t>
  </si>
  <si>
    <t>A cell which also contains a formula and generates a key outcome</t>
  </si>
  <si>
    <t>3) Protection of sheets</t>
  </si>
  <si>
    <t>Participants should not add or delete any cells, rows or columns in the input spreadsheets as the National Supervisory Authority will otherwise not be able to efficiently process the data submitted. Names of the sheets should also not be modified.</t>
  </si>
  <si>
    <t>4) Comments and references</t>
  </si>
  <si>
    <t>Sometimes comments are included in label cells to provide additional clarification/explanation on cells/tables to be completed by participants.</t>
  </si>
  <si>
    <t>[P.Index]</t>
  </si>
  <si>
    <t>The [P.Index] sheet provides an overview of all sheets in the workbook.</t>
  </si>
  <si>
    <t xml:space="preserve">[P.Index] contains hyperlinks to all sheets in the workbook. </t>
  </si>
  <si>
    <t xml:space="preserve">Similarly, all sheets in the workbook include links back to [P.Index]. </t>
  </si>
  <si>
    <t>[Participant]</t>
  </si>
  <si>
    <t>[Overview.ST]</t>
  </si>
  <si>
    <t>[Warnings]</t>
  </si>
  <si>
    <t xml:space="preserve">The [Warnings] sheet provides an overview of the status of automatic alerts and guidance that are embedded throughout the workbook. Some basic checks are performed relating to the inputs provided by participants, which may trigger an alert or guidance. </t>
  </si>
  <si>
    <t>Version history</t>
  </si>
  <si>
    <t>Initial version</t>
  </si>
  <si>
    <t>Greece</t>
  </si>
  <si>
    <t>Liechtenstein</t>
  </si>
  <si>
    <t>CHF</t>
  </si>
  <si>
    <t>Slovakia</t>
  </si>
  <si>
    <t>Global REITs</t>
  </si>
  <si>
    <t>EU REITs</t>
  </si>
  <si>
    <t>non-EU REITs</t>
  </si>
  <si>
    <t>other developed</t>
  </si>
  <si>
    <t>emerging markets</t>
  </si>
  <si>
    <t>participations</t>
  </si>
  <si>
    <t>private equity</t>
  </si>
  <si>
    <t>other</t>
  </si>
  <si>
    <t>equities non-listed</t>
  </si>
  <si>
    <t>government bonds</t>
  </si>
  <si>
    <t>corporate bonds</t>
  </si>
  <si>
    <t>structured notes</t>
  </si>
  <si>
    <t>collateralised securities</t>
  </si>
  <si>
    <t>commodities</t>
  </si>
  <si>
    <t>hedge funds</t>
  </si>
  <si>
    <t>Common balance sheet</t>
  </si>
  <si>
    <t>legally enforceable sponsor support</t>
  </si>
  <si>
    <t>non-legally enforceable sponsor support</t>
  </si>
  <si>
    <t>conditional benefits</t>
  </si>
  <si>
    <t>discretionary benefits</t>
  </si>
  <si>
    <t>ex post benefit reductions</t>
  </si>
  <si>
    <t>reductions in case of sponsor default</t>
  </si>
  <si>
    <t>Explanations on the structure and content of this template</t>
  </si>
  <si>
    <t>Overview of results</t>
  </si>
  <si>
    <t>Overview</t>
  </si>
  <si>
    <t>All input and formula cells are unlocked except in the Overview sheet, which means that participants can override the formulas if necessary. However, the structure of the sheets and workbook is locked to avoid any accidental changes. Most of the cells are prefilled with a minus sign (-) whose meaning is “not filled” to allow a differentiation between missing values and nil values (0). For percentage values, the minus sign is replaced by a percentage sign (%).</t>
  </si>
  <si>
    <t xml:space="preserve">Throughout the workbook references are included to specific paragraphs/sections in the technical specifications in order to assist participants in providing/recognising the requested information. </t>
  </si>
  <si>
    <t>5) Contents of the reporting template</t>
  </si>
  <si>
    <t>The [Participant] sheet should be filled first (and last). The sheet requests essential information for the completion of the rest of the workbook. Most importantly, the participant should enter the home member state (which is used to derive the reporting currency) and the reporting unit (thousands or millions).</t>
  </si>
  <si>
    <t>After completion of the exercise/sheets, the participant should enter in the [Participant] sheet the date of submission and the contact details before submitting the template to the National Supervisory Authority.</t>
  </si>
  <si>
    <t>Table 1</t>
  </si>
  <si>
    <t>Breakdown of investments (excluding assets held for pure DC) on the common balance sheet.</t>
  </si>
  <si>
    <t>Table 2</t>
  </si>
  <si>
    <t>Table 3</t>
  </si>
  <si>
    <t>Table 4</t>
  </si>
  <si>
    <t>Table 5</t>
  </si>
  <si>
    <t>Information on the funding requirement(s) under the national valuation standards.</t>
  </si>
  <si>
    <t>Information on the balance sheet under the national valuation standards.</t>
  </si>
  <si>
    <t>Conditional benefits</t>
  </si>
  <si>
    <t>Discretionary benefits</t>
  </si>
  <si>
    <t>Latest/2016</t>
  </si>
  <si>
    <t>C8</t>
  </si>
  <si>
    <t>Information on the common balance sheet.</t>
  </si>
  <si>
    <t>1. Investments (other than assets held for pure DC) on common balance sheet</t>
  </si>
  <si>
    <t>Iceland (IS)</t>
  </si>
  <si>
    <t>Liechtenstein (LI)</t>
  </si>
  <si>
    <t>Norway (NO)</t>
  </si>
  <si>
    <t>A. Short-term effects of the adverse scenario</t>
  </si>
  <si>
    <t>Equities listed</t>
  </si>
  <si>
    <t>Equities non-listed</t>
  </si>
  <si>
    <t>Government bonds</t>
  </si>
  <si>
    <t>Structured notes</t>
  </si>
  <si>
    <t>Collateralised securities</t>
  </si>
  <si>
    <t>(+)</t>
  </si>
  <si>
    <t>(-)</t>
  </si>
  <si>
    <t>B. Longer term effects of the adverse scenario</t>
  </si>
  <si>
    <t>C. Responses to shocks and adverse developments that took place in the past</t>
  </si>
  <si>
    <t>(Re-)Insurance recoverables, if applicable</t>
  </si>
  <si>
    <t>Pure DC assets</t>
  </si>
  <si>
    <t>Condition 1</t>
  </si>
  <si>
    <t>Condition 2</t>
  </si>
  <si>
    <t>Information on subordinated loans under the national valuation standards.</t>
  </si>
  <si>
    <t>I. Net cash flow of the sponsor(s) for the last three years (only one measure of net cash flow required):</t>
  </si>
  <si>
    <t>II. Book or net asset value of the sponsor (s) (only one measure required):</t>
  </si>
  <si>
    <t>1. Shareholder funds of the sponsor(s) in its latest accounts</t>
  </si>
  <si>
    <t>2. Other if deemed more appropriate (please specify)</t>
  </si>
  <si>
    <t>III. Market value of the sponsor(s)</t>
  </si>
  <si>
    <t>IV. Liabilities of the sponsor towards the IORP, as written in its balance sheet, if available</t>
  </si>
  <si>
    <t>Cash-Flow Analysis</t>
  </si>
  <si>
    <t>Year</t>
  </si>
  <si>
    <t>cash out-flows (expenses)</t>
  </si>
  <si>
    <t>cash out-flows (total)</t>
  </si>
  <si>
    <t>cash out-flows (unconditional benefits excl. future benefit reductions or pure conditional benefits excl. ex ante benefit reductions)</t>
  </si>
  <si>
    <t>net cash flows</t>
  </si>
  <si>
    <t xml:space="preserve">cash out-flows (total) </t>
  </si>
  <si>
    <t>Responses to the Qualitative/Quantitative Questionnaire</t>
  </si>
  <si>
    <t>Q1 from QQ_Questionnaire</t>
  </si>
  <si>
    <t>Section 2 - National discount rates and recovery plans</t>
  </si>
  <si>
    <t>A. National discount rate</t>
  </si>
  <si>
    <t>Expected return on assets: market rate/yield + risk premium</t>
  </si>
  <si>
    <t>Expected return on assets: long-term estimate</t>
  </si>
  <si>
    <t>Other fixed discount rate</t>
  </si>
  <si>
    <t>National discount rate (%)</t>
  </si>
  <si>
    <t>Adverse scenario</t>
  </si>
  <si>
    <t>Adverse Scenario</t>
  </si>
  <si>
    <t>B. Recovery period and expected returns</t>
  </si>
  <si>
    <t>If "yes", please indicate the total and remaining length of the recovery plan in years.</t>
  </si>
  <si>
    <t>If "yes", please indicate the expected length of the recovery plan in years.</t>
  </si>
  <si>
    <t>Section 3 - Impact adverse scenario on the sponsor</t>
  </si>
  <si>
    <t>A. Main characteristics of sponsor(s)</t>
  </si>
  <si>
    <t>Agriculture, forestry and fishing</t>
  </si>
  <si>
    <t>Industry (except construction)</t>
  </si>
  <si>
    <t>Construction</t>
  </si>
  <si>
    <t>Trade (wholesale &amp; retail), transport, accommodation and food services</t>
  </si>
  <si>
    <t>Information and communication services</t>
  </si>
  <si>
    <t>Financial and insurance services</t>
  </si>
  <si>
    <t>Real estate activities</t>
  </si>
  <si>
    <t>Administrative, professional, scientific, support and technical services</t>
  </si>
  <si>
    <t>Public administration, defence, education, health and social work</t>
  </si>
  <si>
    <t>Creative, arts, entertainment, recreation and other service activities</t>
  </si>
  <si>
    <t>high</t>
  </si>
  <si>
    <t>medium</t>
  </si>
  <si>
    <t>low</t>
  </si>
  <si>
    <t>not applicable</t>
  </si>
  <si>
    <t>Private company/group</t>
  </si>
  <si>
    <t>Subsidiary of private company/group</t>
  </si>
  <si>
    <t>Not-for-profit organisation</t>
  </si>
  <si>
    <t>Multiple sponsors</t>
  </si>
  <si>
    <t xml:space="preserve">B. Current assessment of sponsor strength under national regime </t>
  </si>
  <si>
    <t>Yes, to inform the IORP's financial/investment policy</t>
  </si>
  <si>
    <t>Yes, for supervisory purposes</t>
  </si>
  <si>
    <t>Yes, both to inform the IORP's policy and for supervisory purposes</t>
  </si>
  <si>
    <t>No, strength of the sponsor(s) is not regularly assessed</t>
  </si>
  <si>
    <t xml:space="preserve">Principles of valuation method provided </t>
  </si>
  <si>
    <t>Simplification provided</t>
  </si>
  <si>
    <t>Own method</t>
  </si>
  <si>
    <t xml:space="preserve">Net cash flow of the sponsor </t>
  </si>
  <si>
    <t>Book value of the sponsor</t>
  </si>
  <si>
    <t>Market value of the sponsor</t>
  </si>
  <si>
    <t>Liabilities of the sponsor towards the IORP</t>
  </si>
  <si>
    <t>Total wages paid by the sponsor</t>
  </si>
  <si>
    <t>Implied by securities traded on financial markets</t>
  </si>
  <si>
    <t xml:space="preserve">Based on sponsor’s credit rating </t>
  </si>
  <si>
    <t>Set to 4.175% because no credit rating</t>
  </si>
  <si>
    <t>Based on first stage of ASA simplification</t>
  </si>
  <si>
    <t>Probability calculated by the UK PPF</t>
  </si>
  <si>
    <t>Other approach</t>
  </si>
  <si>
    <t>I. Net cash flow of the sponsor(s):</t>
  </si>
  <si>
    <t>2. Other</t>
  </si>
  <si>
    <t>4. Other</t>
  </si>
  <si>
    <t>II. Book value of the sponsor(s):</t>
  </si>
  <si>
    <t>Nature of the data</t>
  </si>
  <si>
    <t>Reliability, if estimate</t>
  </si>
  <si>
    <t>observed</t>
  </si>
  <si>
    <t>estimate</t>
  </si>
  <si>
    <t>poor</t>
  </si>
  <si>
    <t>fair</t>
  </si>
  <si>
    <t>good</t>
  </si>
  <si>
    <t>excellent</t>
  </si>
  <si>
    <t>yes</t>
  </si>
  <si>
    <t>no</t>
  </si>
  <si>
    <t xml:space="preserve">Pre-stress asset allocation end 2016 </t>
  </si>
  <si>
    <t>Asset allocation end 2017</t>
  </si>
  <si>
    <t>not allowed</t>
  </si>
  <si>
    <t>Section 5 – Cash-flow analysis</t>
  </si>
  <si>
    <t>Information related to the Baseline and Adverse Scenario</t>
  </si>
  <si>
    <t>Baseline_&amp;_Adverse_Scenario</t>
  </si>
  <si>
    <t>Cash-flow projections for unconditional benefits</t>
  </si>
  <si>
    <t>CF_Analysis</t>
  </si>
  <si>
    <t>QQ_Questionnaire</t>
  </si>
  <si>
    <t>Post-stress asset allocation end 2016</t>
  </si>
  <si>
    <t>[Baseline_&amp;_Adverse_Scenario]</t>
  </si>
  <si>
    <t>Annex_Common_BS_TS_2.12.8</t>
  </si>
  <si>
    <t>Annex_Common_BS_TS_2.7.1</t>
  </si>
  <si>
    <t>Annex_Common_BS_TS_2.8.1</t>
  </si>
  <si>
    <t>Annex_Common_BS_TS_2.9.1</t>
  </si>
  <si>
    <t>Annex_Common_BS_TS_2.12.1</t>
  </si>
  <si>
    <t>Annex_Common_BS_TS_2.12.10</t>
  </si>
  <si>
    <t>Annex_Common_BS_TS_2.6.1</t>
  </si>
  <si>
    <t>Annex_Common_BS_TS_2.4.1/2.5.1</t>
  </si>
  <si>
    <t>Annex_Common_BS_TS_2.5.23</t>
  </si>
  <si>
    <t>Annex_Common_BS_TS_2.5.49</t>
  </si>
  <si>
    <t>Annex_Common_BS_TS_2.5.50</t>
  </si>
  <si>
    <t>Annex_Common_BS_TS_2.5.53</t>
  </si>
  <si>
    <t>This reporting template should be completed by participants in the DB/hybrid-part of the IORP Stress Test (ST). The purpose of the template is to collect the results of the calculations requested in the ST as well as the responses to the ‘spreadsheet’-questions in the qualitative/quantitative questionnaire. The open questions in the qualitative/quantitative questionnaire should be answered in the separately provided word template.</t>
  </si>
  <si>
    <t>[CF_Analysis]</t>
  </si>
  <si>
    <t>[QQ_Questionnaire]</t>
  </si>
  <si>
    <t>This sheet requests information on the projected cash-flows for the unconditional benefits derived using the technical specifications for the valuation of the common balance sheet.</t>
  </si>
  <si>
    <t>Participants are requested to provide under the baseline and adverse scenario:</t>
  </si>
  <si>
    <t>This sheet provides a summary overview of the stress test outcomes in the baseline and adverse scenario under the common balance sheet and the national balance sheet (incl. funding requirement(s)).</t>
  </si>
  <si>
    <t>Baseline and Adverse Scenario</t>
  </si>
  <si>
    <t>Remaining length</t>
  </si>
  <si>
    <t>Section 4 - Impact on investment behaviour and other potential actions</t>
  </si>
  <si>
    <t>Value from Common BS</t>
  </si>
  <si>
    <t>Discounted value of net cash flows</t>
  </si>
  <si>
    <t>% difference compared to Common BS</t>
  </si>
  <si>
    <t>ISK</t>
  </si>
  <si>
    <t xml:space="preserve">NOK </t>
  </si>
  <si>
    <t>Discounted net CF</t>
  </si>
  <si>
    <t>Iceland</t>
  </si>
  <si>
    <t>Section 1 - General</t>
  </si>
  <si>
    <t>B. Description of IORP and pension scheme</t>
  </si>
  <si>
    <t>2. Does the IORP participate in the exercise only for part of its activities (f.i. for only a specific ring-fenced section)?</t>
  </si>
  <si>
    <t>Total number of members</t>
  </si>
  <si>
    <t>active members</t>
  </si>
  <si>
    <t>deferred members</t>
  </si>
  <si>
    <t>retired persons</t>
  </si>
  <si>
    <t>5. Please indicate the benefit adjustment mechanisms currently available to the IORP</t>
  </si>
  <si>
    <t>Benefit reductions in case of sponsor default</t>
  </si>
  <si>
    <t xml:space="preserve">6. Please indicate the security mechanisms currently available to the IORP </t>
  </si>
  <si>
    <t xml:space="preserve">7. Please indicate the forms of sponsor support available  </t>
  </si>
  <si>
    <t xml:space="preserve">8. What type of discount rate did you use to establish the value of technical provisions on the national balance sheet (mark X, if appropriate)? </t>
  </si>
  <si>
    <t>C. Valuation sponsor support and pension protection schemes on common balance sheet</t>
  </si>
  <si>
    <t>Maximum value of sponsor support</t>
  </si>
  <si>
    <t>D. Assumptions sponsor strength in valuing sponsor support on common balance sheet</t>
  </si>
  <si>
    <t>E. Quantitative data on strength of the sponsor</t>
  </si>
  <si>
    <t>B</t>
  </si>
  <si>
    <t>&lt;= CCC</t>
  </si>
  <si>
    <t>All corporate bonds</t>
  </si>
  <si>
    <t>Financial, covered bonds</t>
  </si>
  <si>
    <t>cash in-flows (future contributions, excluding future sponsor support)</t>
  </si>
  <si>
    <t>Fixed income assets</t>
  </si>
  <si>
    <t>Total fixed income (incl. interest rate derivatives)</t>
  </si>
  <si>
    <t>2. Information on duration of fixed income assets</t>
  </si>
  <si>
    <t>3. Common balance sheet</t>
  </si>
  <si>
    <t>4. National balance sheet</t>
  </si>
  <si>
    <t>Information on duration of fixed income assets.</t>
  </si>
  <si>
    <t>5. Information on subordinated loans</t>
  </si>
  <si>
    <t>6. Funding requirements on national balance sheet</t>
  </si>
  <si>
    <t>Table 6</t>
  </si>
  <si>
    <t>4. Please indicate the status of the IORP or of the pension schemes provided by the IORP.</t>
  </si>
  <si>
    <t xml:space="preserve">3. Please provide the number of plan members/retired persons covered by the IORP as well as the national value of technical provisions corresponding to each group as at 31 December 2016 (a role forward method can be used, if data is not available) for the part of the activities subject to the stress test. </t>
  </si>
  <si>
    <t xml:space="preserve"> Number of persons (in '000)</t>
  </si>
  <si>
    <t>Market swap rate or yield on high-quality bonds (uniform rate)</t>
  </si>
  <si>
    <t>Risk-free term structure (based on swaps/high-quality bonds), excl. UFR</t>
  </si>
  <si>
    <t>Risk-free term structure (based on swaps/high-quality bonds), incl. UFR</t>
  </si>
  <si>
    <t>Discount rate varies by type of plan member</t>
  </si>
  <si>
    <t>Discount rate depends on starting date contract/year of pension accrual</t>
  </si>
  <si>
    <t xml:space="preserve">9. Please indicate whether the discount rate varies depending on the type of member (e.g. active/deferred members versus pensioners) or on the year of the pension accrual/contract (mark X, if appropriate). </t>
  </si>
  <si>
    <t xml:space="preserve">10. Please provide the level of the discount rate used to establish technical provisions on the national balance sheet in the baseline and adverse scenario (in %). If the discount rate varies for different years, please provide the (spot) discount rate corresponding to the duration of your liabilities on the national balance sheet. </t>
  </si>
  <si>
    <t xml:space="preserve">11. Does the level of the discount rate to value technical provisions on the national balance sheet depend on the claim on the sponsor(s) to support the IORP/pension promise and/or the strength of the sponsor(s) (yes/no)? </t>
  </si>
  <si>
    <t xml:space="preserve">12. If your answer to question 11 is "yes", did you take into account the impact of the larger claim on your sponsor(s) on the national discount rate in the adverse scenario (yes/no)? </t>
  </si>
  <si>
    <t xml:space="preserve"> If your answer is "yes", what is the absolute change in the discount rate (in %-points) as a result of the larger claim on the sponsor(s)?</t>
  </si>
  <si>
    <t xml:space="preserve">13. Is the IORP currently subject to a recovery plan (yes/no)? </t>
  </si>
  <si>
    <t xml:space="preserve">14. If your answer in question 13 is "yes", please indicate whether the recovery plan contains additional sponsor contributions, suspension of (part of) conditional/discretionary benefits and/or benefit reductions (mark X, if appropriate). </t>
  </si>
  <si>
    <t>Additional sponsor contributions</t>
  </si>
  <si>
    <t>Suspension of (part of) conditional/discretionary benefits</t>
  </si>
  <si>
    <t>Benefit reductions</t>
  </si>
  <si>
    <t xml:space="preserve">15. If your answer in question 13 is “yes”, please indicate whether the recovery plan takes into account the expected return on assets during the recovery period (yes/no). </t>
  </si>
  <si>
    <t xml:space="preserve">16. Would the IORP have to draw up a recovery plan if the adverse market scenario would materialize, considering its impact on the national balance sheet (yes/no)? </t>
  </si>
  <si>
    <t xml:space="preserve">17. If your answer in question 16 is "yes", please indicate whether you expect the recovery plan to contain additional sponsor contributions, suspension of (part of) conditional/discretionary benefits and/or benefit reductions (mark X, if appropriate). </t>
  </si>
  <si>
    <t xml:space="preserve">19. In which economic sector does/do your sponsor/sponsors operate (mark X if appropriate)? </t>
  </si>
  <si>
    <t xml:space="preserve">20. In your assessment how sensitive are your sponsor's/sponsors' business activities to a (severe) economic recession, also considering past experience (high; medium; low; not applicable)? </t>
  </si>
  <si>
    <t xml:space="preserve">21. Please indicate the nature of the sponsor (mark X if appropriate) </t>
  </si>
  <si>
    <t>Members of a profession/self-employed</t>
  </si>
  <si>
    <t xml:space="preserve">23. If you indicated "multiple sponsors" in question 21, please specify the number of sponsors. </t>
  </si>
  <si>
    <t xml:space="preserve">24. Does your IORP regularly assess the strength of its sponsor(s) to inform the IORP's financial/investment policy and/or for supervisory purposes, such as the setting of discount rates for the valuation of liabilities and/or of the establishment of a recovery plan (mark X, if appropriate)? </t>
  </si>
  <si>
    <t>26. What valuation method did you use to establish the value of sponsor support in the baseline scenario?</t>
  </si>
  <si>
    <t>28. What valuation method did you use to establish the value of the pension protection scheme in the baseline scenario?</t>
  </si>
  <si>
    <t xml:space="preserve">30. Please specify the method used to establish the maximum amount of sponsor support (mark X if appropriate). </t>
  </si>
  <si>
    <t xml:space="preserve">32. Please specify the type(s) of quantitative data relating to the sponsor(s) used to establish the maximum value of sponsor support (mark X if appropriate). </t>
  </si>
  <si>
    <t>Appropriate measure to  assess capability of the sponsor(s) to provide sponsor support</t>
  </si>
  <si>
    <t>Section 6 - Simplifications government bond, corporate bond and commercial/residential property stresses</t>
  </si>
  <si>
    <t>Applied standard stresses corresponding to individual EEA-countries</t>
  </si>
  <si>
    <t>Applied simplified stresses for European aggregates</t>
  </si>
  <si>
    <t>V. Total balance sheet value of the sponsor(s)</t>
  </si>
  <si>
    <t>VI. Total wages paid by the sponsor(s)</t>
  </si>
  <si>
    <t xml:space="preserve">18. If your answer in question 16 is “yes”, please indicate whether you expect the recovery plan to take into account the expected return on assets during the recovery period (yes/no). </t>
  </si>
  <si>
    <t>(=)</t>
  </si>
  <si>
    <t>(+)/(-)/(=)</t>
  </si>
  <si>
    <t>in %</t>
  </si>
  <si>
    <t xml:space="preserve">48.Does your IORP regularly perform cash-flow analysis under the national regime (yes/no)?  </t>
  </si>
  <si>
    <t>A. National cash-flow analysis</t>
  </si>
  <si>
    <t>B. Cash-flow analysis in the stress test</t>
  </si>
  <si>
    <t>34. Please specify the probability of sponsor default used in the valuation of sponsor support on the common balance sheet, where applicable .</t>
  </si>
  <si>
    <t xml:space="preserve">35. Please specify the approach you used to establish the probability of sponsor default used in the valuation of sponsor support on the common balance sheet. (mark X if appropriate) </t>
  </si>
  <si>
    <t xml:space="preserve">40. Please indicate below the nature of the data relating to the sponsor(s) provided and whether the data represents an appropriate measure to assess the capability of the sponsor(s) to provide sponsor support. If the data constitutes an estimate then please provide your assessment of its reliability. </t>
  </si>
  <si>
    <t xml:space="preserve">41.2. Assuming the adverse scenario takes place, how would you react within the first year following the shock? Would you take other actions (e.g. adjust ambition level, increase contributions, reduce indexation, reduce future pension accrual, reduce accrued pensions, etc.) (yes/no)? </t>
  </si>
  <si>
    <t xml:space="preserve">43.1. Assuming the adverse scenario takes place and yields remain low for several years from now. How would you react within, say, the next four years? Would you amend the investment strategy (yes; no; not allowed)? </t>
  </si>
  <si>
    <t>43.3. Assuming the adverse scenario takes place and yields remain low for several years from now. How would you react within, say, the next four years? Would you increase the duration of assets in the portfolio (yes/no)?</t>
  </si>
  <si>
    <t xml:space="preserve">43.4. Assuming the adverse scenario takes place and yields remain low for several years from now. How would you react within, say, the next four years? Would you take other actions (e.g. adjust ambition level, increase contributions, reduce indexation, reduce future pension accrual, reduce accrued pensions, etc.) (yes/no)? </t>
  </si>
  <si>
    <t xml:space="preserve">44. Are there factors other than macroeconomic circumstances that influenced your IORP's investment allocation over the years 2007-2008 (e.g. change in ambition or contract redesign) (yes/no)? </t>
  </si>
  <si>
    <t xml:space="preserve">45. Are there factors other than macroeconomic circumstances that influenced your IORP's investment allocation over the years 2008-2016 (yes/no)? </t>
  </si>
  <si>
    <t xml:space="preserve">46. Did you increase the duration of your IORP's assets over the period 2007-2016 (yes/no)?  </t>
  </si>
  <si>
    <t xml:space="preserve">50. Please indicate whether the cash-flow projection for unconditional benefits (or equivalently conditional benefits excl. ex ante benefit reductions) you reported was also used for valuing the best estimate of technical provisions on the common balance sheet (yes/no). </t>
  </si>
  <si>
    <t xml:space="preserve">51. Please indicate whether the cash-flow projection for unconditional benefits (or equivalently conditional benefits excl. ex ante benefit reductions) is consistent  with the technical specifications for the common balance sheet (yes/no) </t>
  </si>
  <si>
    <t>53. What approach did you take to implement the government bond stresses (mark X if appropriate)?</t>
  </si>
  <si>
    <t xml:space="preserve">55. What approach did you take to implement the corporate bond stresses (mark X if appropriate)? </t>
  </si>
  <si>
    <t xml:space="preserve">57. What approach did you take to implementing the commercial and residential property stresses in the adverse market scenario (mark X if appropriate)? </t>
  </si>
  <si>
    <t>Participant code</t>
  </si>
  <si>
    <t>Duration of pension liabilities in years</t>
  </si>
  <si>
    <t>Duration of unconditional pension liabilities in years</t>
  </si>
  <si>
    <t>Duration in years</t>
  </si>
  <si>
    <t xml:space="preserve">41.1. Assuming the adverse scenario takes place, how would you react within the first year following the shock? Would you restructure the risk on the asset side by selling (-) or buying (+) of the following asset classes or would you refrain from selling/buying the following asset classes (=)? </t>
  </si>
  <si>
    <t>Total investments (excl. derivatives)</t>
  </si>
  <si>
    <t xml:space="preserve">43.2. Assuming the adverse scenario takes place and yields remain low for several years from now. How would you react within, say, the next four years? Would you restructure the risk on the asset side by selling (-) or buying (+) of the following asset classes or would you refrain from selling/buying the following asset classes (=)? </t>
  </si>
  <si>
    <t>DB/Hybrid Reporting Template Index</t>
  </si>
  <si>
    <t xml:space="preserve"> v. 20170518</t>
  </si>
  <si>
    <t>Participant Information</t>
  </si>
  <si>
    <t>end December 2016</t>
  </si>
  <si>
    <t>Absolute diffference compared to Common BS (years)</t>
  </si>
  <si>
    <t>Duration from Common BS (years)</t>
  </si>
  <si>
    <t>Duration calculated from net cash flows (years)</t>
  </si>
  <si>
    <t>Stress_Test_Specs_3.50-3.52</t>
  </si>
  <si>
    <t>Annex_Common_BS_TS_2.7.15</t>
  </si>
  <si>
    <t>Annex_Common_BS_TS_2.7.15/2.7.18</t>
  </si>
  <si>
    <t>Annex_Common_BS_TS_1.1.9</t>
  </si>
  <si>
    <t>Stress_Test_Specs_3.13</t>
  </si>
  <si>
    <t>Zero stresses</t>
  </si>
  <si>
    <t>Aggregate/simplified stresses</t>
  </si>
  <si>
    <t>Other Europe/non-Europe</t>
  </si>
  <si>
    <t>EEA</t>
  </si>
  <si>
    <t>non-EEA</t>
  </si>
  <si>
    <t>EEA non-listed, unleveraged commercial property</t>
  </si>
  <si>
    <t>EEA non-listed, unleveraged residential property</t>
  </si>
  <si>
    <t>Aggregate/simplifiied stresses</t>
  </si>
  <si>
    <t>F4</t>
  </si>
  <si>
    <t>E4</t>
  </si>
  <si>
    <t>E137</t>
  </si>
  <si>
    <t>E140</t>
  </si>
  <si>
    <t>E141</t>
  </si>
  <si>
    <t>G137</t>
  </si>
  <si>
    <t>G140</t>
  </si>
  <si>
    <t>G141</t>
  </si>
  <si>
    <t>E89</t>
  </si>
  <si>
    <t>G89</t>
  </si>
  <si>
    <t>E351</t>
  </si>
  <si>
    <t>H396</t>
  </si>
  <si>
    <t>H397</t>
  </si>
  <si>
    <t>Please only complete questions 26 to 40 if you included a value for sponsor support on the common balance sheet.</t>
  </si>
  <si>
    <t>%</t>
  </si>
  <si>
    <t xml:space="preserve">If your answer is “yes”, please specify the (average) level of the expected return on assets during the recovery period in %. </t>
  </si>
  <si>
    <t xml:space="preserve">If your answer is “yes”, please provide an estimate for the (average) level of the expected return on assets during the recovery period in %. </t>
  </si>
  <si>
    <t>27. If you responded "balancing item approach" in question 26, please specify which conditions for using the balancing item approach for the valuation of sponsor support your IORP complies with (mark X if appropriate).</t>
  </si>
  <si>
    <t>42. Assuming the adverse scenario takes place, what would your expected asset allocation be on the common balance sheet at the end of 2017 after potential re-balancing and other reactions (in % total investments, excl. derivatives)?</t>
  </si>
  <si>
    <t>This sheet provides the response template for the questions in the qualitative/quantitative questionnaire that have to be answered through the spreadsheet.</t>
  </si>
  <si>
    <t>The spreadsheet uses the following colour conventions for cells:</t>
  </si>
  <si>
    <t>EIOPA-17-283-IORP_ST17_DB_Template-(20170518)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</si>
</sst>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numFmt numFmtId="181" formatCode="0.0%"/>
    <numFmt numFmtId="182" formatCode="0.000%"/>
    <numFmt numFmtId="183" formatCode="#,##0.0"/>
    <numFmt numFmtId="184" formatCode="#,##0.0000"/>
    <numFmt numFmtId="185" formatCode="#,##0.00000"/>
    <numFmt numFmtId="186" formatCode="#,##0.000000"/>
    <numFmt numFmtId="187" formatCode="#,##0.000"/>
    <numFmt numFmtId="188" formatCode="0.0000"/>
    <numFmt numFmtId="189" formatCode="0.0"/>
    <numFmt numFmtId="190" formatCode="#,##0.0\ _€"/>
    <numFmt numFmtId="191" formatCode="&quot;Yes&quot;;&quot;Yes&quot;;&quot;No&quot;"/>
    <numFmt numFmtId="192" formatCode="&quot;True&quot;;&quot;True&quot;;&quot;False&quot;"/>
    <numFmt numFmtId="193" formatCode="&quot;On&quot;;&quot;On&quot;;&quot;Off&quot;"/>
    <numFmt numFmtId="194" formatCode="[$€-2]\ #,##0.00_);[Red]\([$€-2]\ #,##0.00\)"/>
    <numFmt numFmtId="195" formatCode="&quot;Sim&quot;;&quot;Sim&quot;;&quot;Não&quot;"/>
    <numFmt numFmtId="196" formatCode="&quot;Verdadeiro&quot;;&quot;Verdadeiro&quot;;&quot;Falso&quot;"/>
    <numFmt numFmtId="197" formatCode="&quot;Activado&quot;;&quot;Activado&quot;;&quot;Desactivado&quot;"/>
  </numFmts>
  <fonts count="73">
    <font>
      <sz val="11"/>
      <color theme="1"/>
      <name val="Calibri"/>
      <family val="2"/>
    </font>
    <font>
      <sz val="11"/>
      <color indexed="8"/>
      <name val="Calibri"/>
      <family val="2"/>
    </font>
    <font>
      <sz val="10"/>
      <name val="Arial"/>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0"/>
      <color indexed="8"/>
      <name val="Calibri"/>
      <family val="2"/>
    </font>
    <font>
      <sz val="11"/>
      <color indexed="52"/>
      <name val="Calibri"/>
      <family val="2"/>
    </font>
    <font>
      <sz val="11"/>
      <color indexed="60"/>
      <name val="Calibri"/>
      <family val="2"/>
    </font>
    <font>
      <b/>
      <sz val="11"/>
      <color indexed="63"/>
      <name val="Calibri"/>
      <family val="2"/>
    </font>
    <font>
      <sz val="11"/>
      <color indexed="22"/>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b/>
      <i/>
      <sz val="11"/>
      <color indexed="9"/>
      <name val="Calibri"/>
      <family val="2"/>
    </font>
    <font>
      <sz val="11"/>
      <name val="Calibri"/>
      <family val="2"/>
    </font>
    <font>
      <i/>
      <sz val="11"/>
      <color indexed="8"/>
      <name val="Calibri"/>
      <family val="2"/>
    </font>
    <font>
      <b/>
      <sz val="11"/>
      <color indexed="10"/>
      <name val="Calibri"/>
      <family val="2"/>
    </font>
    <font>
      <sz val="9"/>
      <color indexed="8"/>
      <name val="Calibri"/>
      <family val="2"/>
    </font>
    <font>
      <u val="single"/>
      <sz val="11"/>
      <color indexed="9"/>
      <name val="Calibri"/>
      <family val="2"/>
    </font>
    <font>
      <b/>
      <sz val="14"/>
      <name val="Calibri"/>
      <family val="2"/>
    </font>
    <font>
      <b/>
      <sz val="14"/>
      <color indexed="8"/>
      <name val="Calibri"/>
      <family val="2"/>
    </font>
    <font>
      <b/>
      <sz val="12"/>
      <color indexed="9"/>
      <name val="Calibri"/>
      <family val="2"/>
    </font>
    <font>
      <sz val="12"/>
      <color indexed="8"/>
      <name val="Calibri"/>
      <family val="2"/>
    </font>
    <font>
      <b/>
      <sz val="11"/>
      <color indexed="21"/>
      <name val="Calibri"/>
      <family val="2"/>
    </font>
    <font>
      <b/>
      <sz val="14"/>
      <color indexed="9"/>
      <name val="Calibri"/>
      <family val="2"/>
    </font>
    <font>
      <sz val="10"/>
      <color indexed="19"/>
      <name val="Calibri"/>
      <family val="2"/>
    </font>
    <font>
      <b/>
      <i/>
      <sz val="11"/>
      <color indexed="1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0"/>
      <color theme="1"/>
      <name val="Calibri"/>
      <family val="2"/>
    </font>
    <font>
      <sz val="11"/>
      <color rgb="FFFA7D00"/>
      <name val="Calibri"/>
      <family val="2"/>
    </font>
    <font>
      <sz val="11"/>
      <color rgb="FF9C6500"/>
      <name val="Calibri"/>
      <family val="2"/>
    </font>
    <font>
      <b/>
      <sz val="11"/>
      <color rgb="FF3F3F3F"/>
      <name val="Calibri"/>
      <family val="2"/>
    </font>
    <font>
      <sz val="11"/>
      <color theme="0" tint="-0.149959996342659"/>
      <name val="Calibri"/>
      <family val="2"/>
    </font>
    <font>
      <b/>
      <sz val="18"/>
      <color theme="3"/>
      <name val="Cambria"/>
      <family val="2"/>
    </font>
    <font>
      <b/>
      <sz val="11"/>
      <color theme="1"/>
      <name val="Calibri"/>
      <family val="2"/>
    </font>
    <font>
      <sz val="11"/>
      <color rgb="FFFF0000"/>
      <name val="Calibri"/>
      <family val="2"/>
    </font>
    <font>
      <b/>
      <i/>
      <sz val="11"/>
      <color theme="0"/>
      <name val="Calibri"/>
      <family val="2"/>
    </font>
    <font>
      <i/>
      <sz val="11"/>
      <color theme="1"/>
      <name val="Calibri"/>
      <family val="2"/>
    </font>
    <font>
      <b/>
      <sz val="11"/>
      <color rgb="FFFF0000"/>
      <name val="Calibri"/>
      <family val="2"/>
    </font>
    <font>
      <sz val="9"/>
      <color theme="1"/>
      <name val="Calibri"/>
      <family val="2"/>
    </font>
    <font>
      <u val="single"/>
      <sz val="11"/>
      <color theme="0"/>
      <name val="Calibri"/>
      <family val="2"/>
    </font>
    <font>
      <b/>
      <sz val="14"/>
      <color theme="1"/>
      <name val="Calibri"/>
      <family val="2"/>
    </font>
    <font>
      <b/>
      <sz val="12"/>
      <color theme="0"/>
      <name val="Calibri"/>
      <family val="2"/>
    </font>
    <font>
      <sz val="12"/>
      <color theme="1"/>
      <name val="Calibri"/>
      <family val="2"/>
    </font>
    <font>
      <b/>
      <sz val="11"/>
      <color rgb="FF00B050"/>
      <name val="Calibri"/>
      <family val="2"/>
    </font>
    <font>
      <b/>
      <sz val="14"/>
      <color theme="0"/>
      <name val="Calibri"/>
      <family val="2"/>
    </font>
    <font>
      <sz val="10"/>
      <color theme="5" tint="-0.4999699890613556"/>
      <name val="Calibri"/>
      <family val="2"/>
    </font>
    <font>
      <b/>
      <i/>
      <sz val="11"/>
      <color theme="5" tint="-0.4999699890613556"/>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indexed="22"/>
        <bgColor indexed="64"/>
      </patternFill>
    </fill>
    <fill>
      <patternFill patternType="solid">
        <fgColor theme="0"/>
        <bgColor indexed="64"/>
      </patternFill>
    </fill>
    <fill>
      <patternFill patternType="solid">
        <fgColor theme="0" tint="-0.4999699890613556"/>
        <bgColor indexed="64"/>
      </patternFill>
    </fill>
    <fill>
      <patternFill patternType="solid">
        <fgColor theme="9" tint="-0.24997000396251678"/>
        <bgColor indexed="64"/>
      </patternFill>
    </fill>
    <fill>
      <patternFill patternType="solid">
        <fgColor theme="0" tint="-0.24997000396251678"/>
        <bgColor indexed="64"/>
      </patternFill>
    </fill>
    <fill>
      <patternFill patternType="solid">
        <fgColor theme="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2" fillId="31" borderId="0" applyBorder="0">
      <alignment/>
      <protection/>
    </xf>
    <xf numFmtId="3" fontId="52" fillId="32" borderId="0" applyBorder="0" applyProtection="0">
      <alignment horizontal="right" vertical="center"/>
    </xf>
    <xf numFmtId="0" fontId="0" fillId="33" borderId="0" applyNumberFormat="0" applyFont="0" applyBorder="0" applyAlignment="0">
      <protection/>
    </xf>
    <xf numFmtId="3" fontId="52" fillId="34" borderId="0" applyBorder="0">
      <alignment horizontal="right" vertical="center"/>
      <protection locked="0"/>
    </xf>
    <xf numFmtId="0" fontId="0" fillId="35" borderId="0" applyNumberFormat="0" applyFont="0" applyBorder="0" applyAlignment="0">
      <protection/>
    </xf>
    <xf numFmtId="3" fontId="52" fillId="36" borderId="0" applyBorder="0" applyAlignment="0">
      <protection/>
    </xf>
    <xf numFmtId="0" fontId="53" fillId="0" borderId="6" applyNumberFormat="0" applyFill="0" applyAlignment="0" applyProtection="0"/>
    <xf numFmtId="0" fontId="54" fillId="37" borderId="0" applyNumberFormat="0" applyBorder="0" applyAlignment="0" applyProtection="0"/>
    <xf numFmtId="0" fontId="0" fillId="0" borderId="0">
      <alignment/>
      <protection/>
    </xf>
    <xf numFmtId="0" fontId="0" fillId="38"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39" borderId="0" applyNumberFormat="0" applyBorder="0" applyAlignment="0">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86">
    <xf numFmtId="0" fontId="0" fillId="0" borderId="0" xfId="0" applyFont="1" applyAlignment="1">
      <alignment/>
    </xf>
    <xf numFmtId="14" fontId="0" fillId="33" borderId="10" xfId="58" applyNumberFormat="1" applyFont="1" applyBorder="1" applyAlignment="1">
      <alignment/>
      <protection/>
    </xf>
    <xf numFmtId="0" fontId="42" fillId="20" borderId="11" xfId="0" applyFont="1" applyFill="1" applyBorder="1" applyAlignment="1">
      <alignment/>
    </xf>
    <xf numFmtId="0" fontId="42" fillId="40" borderId="12" xfId="0" applyFont="1" applyFill="1" applyBorder="1" applyAlignment="1">
      <alignment horizontal="center" vertical="center" wrapText="1"/>
    </xf>
    <xf numFmtId="0" fontId="42" fillId="20" borderId="13" xfId="0" applyFont="1" applyFill="1" applyBorder="1" applyAlignment="1">
      <alignment/>
    </xf>
    <xf numFmtId="0" fontId="24" fillId="35" borderId="12" xfId="60" applyFont="1" applyBorder="1" applyAlignment="1">
      <alignment vertical="top"/>
      <protection/>
    </xf>
    <xf numFmtId="0" fontId="58" fillId="35" borderId="11" xfId="60" applyFont="1" applyBorder="1" applyAlignment="1">
      <alignment/>
      <protection/>
    </xf>
    <xf numFmtId="0" fontId="58" fillId="35" borderId="12" xfId="60" applyFont="1" applyBorder="1" applyAlignment="1">
      <alignment/>
      <protection/>
    </xf>
    <xf numFmtId="0" fontId="58" fillId="0" borderId="0" xfId="0" applyFont="1" applyAlignment="1">
      <alignment/>
    </xf>
    <xf numFmtId="0" fontId="58" fillId="35" borderId="14" xfId="60" applyFont="1" applyBorder="1" applyAlignment="1">
      <alignment/>
      <protection/>
    </xf>
    <xf numFmtId="0" fontId="58" fillId="35" borderId="15" xfId="60" applyFont="1" applyBorder="1" applyAlignment="1">
      <alignment/>
      <protection/>
    </xf>
    <xf numFmtId="0" fontId="58" fillId="35" borderId="12" xfId="60" applyFont="1" applyBorder="1" applyAlignment="1">
      <alignment wrapText="1"/>
      <protection/>
    </xf>
    <xf numFmtId="0" fontId="42" fillId="40" borderId="11" xfId="0" applyFont="1" applyFill="1" applyBorder="1" applyAlignment="1">
      <alignment horizontal="left" vertical="center" wrapText="1"/>
    </xf>
    <xf numFmtId="0" fontId="42" fillId="40" borderId="15" xfId="0" applyFont="1" applyFill="1" applyBorder="1" applyAlignment="1">
      <alignment horizontal="center" vertical="center" wrapText="1"/>
    </xf>
    <xf numFmtId="0" fontId="42" fillId="40" borderId="16" xfId="0" applyFont="1" applyFill="1" applyBorder="1" applyAlignment="1">
      <alignment horizontal="left" vertical="center" wrapText="1"/>
    </xf>
    <xf numFmtId="0" fontId="42" fillId="0" borderId="0" xfId="0" applyFont="1" applyFill="1" applyBorder="1" applyAlignment="1">
      <alignment/>
    </xf>
    <xf numFmtId="0" fontId="42" fillId="35" borderId="0" xfId="60" applyFont="1" applyBorder="1" applyAlignment="1">
      <alignment/>
      <protection/>
    </xf>
    <xf numFmtId="0" fontId="42" fillId="40" borderId="17" xfId="0" applyFont="1" applyFill="1" applyBorder="1" applyAlignment="1">
      <alignment horizontal="center" vertical="center" wrapText="1"/>
    </xf>
    <xf numFmtId="0" fontId="42" fillId="40" borderId="13" xfId="0" applyFont="1" applyFill="1" applyBorder="1" applyAlignment="1">
      <alignment horizontal="center" vertical="center" wrapText="1"/>
    </xf>
    <xf numFmtId="0" fontId="42" fillId="35" borderId="10" xfId="60" applyFont="1" applyBorder="1" applyAlignment="1">
      <alignment/>
      <protection/>
    </xf>
    <xf numFmtId="0" fontId="60" fillId="40" borderId="11" xfId="0" applyFont="1" applyFill="1" applyBorder="1" applyAlignment="1">
      <alignment horizontal="left" vertical="center" wrapText="1"/>
    </xf>
    <xf numFmtId="0" fontId="26" fillId="35" borderId="16" xfId="60" applyFont="1" applyBorder="1" applyAlignment="1">
      <alignment horizontal="left" vertical="center" wrapText="1"/>
      <protection/>
    </xf>
    <xf numFmtId="0" fontId="42" fillId="0" borderId="0" xfId="0" applyFont="1" applyFill="1" applyBorder="1" applyAlignment="1">
      <alignment horizontal="center" vertical="center" wrapText="1"/>
    </xf>
    <xf numFmtId="0" fontId="42" fillId="40" borderId="12" xfId="0" applyFont="1" applyFill="1" applyBorder="1" applyAlignment="1">
      <alignment horizontal="center" vertical="center" textRotation="90" wrapText="1"/>
    </xf>
    <xf numFmtId="0" fontId="42" fillId="40" borderId="11" xfId="0" applyFont="1" applyFill="1" applyBorder="1" applyAlignment="1">
      <alignment horizontal="left" vertical="top" wrapText="1"/>
    </xf>
    <xf numFmtId="0" fontId="42" fillId="0" borderId="0" xfId="0" applyFont="1" applyFill="1" applyBorder="1" applyAlignment="1">
      <alignment horizontal="center" vertical="center" textRotation="90" wrapText="1"/>
    </xf>
    <xf numFmtId="0" fontId="61" fillId="0" borderId="0" xfId="0" applyFont="1" applyAlignment="1">
      <alignment/>
    </xf>
    <xf numFmtId="0" fontId="49" fillId="0" borderId="0" xfId="53" applyAlignment="1">
      <alignment horizontal="right"/>
    </xf>
    <xf numFmtId="0" fontId="62" fillId="0" borderId="0" xfId="0" applyFont="1" applyFill="1" applyAlignment="1">
      <alignment/>
    </xf>
    <xf numFmtId="0" fontId="24" fillId="35" borderId="12" xfId="60" applyFont="1" applyBorder="1" applyAlignment="1">
      <alignment horizontal="left" vertical="top"/>
      <protection/>
    </xf>
    <xf numFmtId="0" fontId="61" fillId="35" borderId="18" xfId="60" applyFont="1" applyBorder="1" applyAlignment="1" quotePrefix="1">
      <alignment horizontal="left" indent="2"/>
      <protection/>
    </xf>
    <xf numFmtId="0" fontId="24" fillId="35" borderId="15" xfId="60" applyFont="1" applyBorder="1" applyAlignment="1" applyProtection="1">
      <alignment vertical="top"/>
      <protection locked="0"/>
    </xf>
    <xf numFmtId="0" fontId="61" fillId="0" borderId="0" xfId="60" applyFont="1" applyFill="1" applyBorder="1" applyAlignment="1">
      <alignment horizontal="right"/>
      <protection/>
    </xf>
    <xf numFmtId="0" fontId="26" fillId="0" borderId="0" xfId="0" applyFont="1" applyAlignment="1">
      <alignment/>
    </xf>
    <xf numFmtId="0" fontId="58" fillId="35" borderId="11" xfId="60" applyFont="1" applyBorder="1" applyAlignment="1">
      <alignment horizontal="left"/>
      <protection/>
    </xf>
    <xf numFmtId="0" fontId="61" fillId="35" borderId="19" xfId="60" applyFont="1" applyBorder="1" applyAlignment="1">
      <alignment horizontal="left" indent="5"/>
      <protection/>
    </xf>
    <xf numFmtId="0" fontId="24" fillId="35" borderId="18" xfId="60" applyFont="1" applyBorder="1" applyAlignment="1">
      <alignment vertical="top"/>
      <protection/>
    </xf>
    <xf numFmtId="0" fontId="61" fillId="35" borderId="19" xfId="60" applyFont="1" applyBorder="1" applyAlignment="1" quotePrefix="1">
      <alignment horizontal="left" indent="3"/>
      <protection/>
    </xf>
    <xf numFmtId="0" fontId="0" fillId="0" borderId="0" xfId="0" applyFont="1" applyAlignment="1">
      <alignment/>
    </xf>
    <xf numFmtId="1" fontId="63" fillId="33" borderId="20" xfId="58" applyNumberFormat="1" applyFont="1" applyBorder="1" applyAlignment="1">
      <alignment horizontal="right"/>
      <protection/>
    </xf>
    <xf numFmtId="1" fontId="63" fillId="33" borderId="21" xfId="58" applyNumberFormat="1" applyFont="1" applyBorder="1" applyAlignment="1">
      <alignment horizontal="right"/>
      <protection/>
    </xf>
    <xf numFmtId="1" fontId="26" fillId="33" borderId="10" xfId="58" applyNumberFormat="1" applyFont="1" applyBorder="1" applyAlignment="1">
      <alignment/>
      <protection/>
    </xf>
    <xf numFmtId="0" fontId="26" fillId="41" borderId="0" xfId="0" applyFont="1" applyFill="1" applyAlignment="1">
      <alignment horizontal="center"/>
    </xf>
    <xf numFmtId="1" fontId="26" fillId="33" borderId="22" xfId="58" applyNumberFormat="1" applyFont="1" applyBorder="1" applyAlignment="1">
      <alignment/>
      <protection/>
    </xf>
    <xf numFmtId="0" fontId="26" fillId="0" borderId="0" xfId="0" applyFont="1" applyAlignment="1">
      <alignment horizontal="center"/>
    </xf>
    <xf numFmtId="0" fontId="24" fillId="42" borderId="11" xfId="0" applyFont="1" applyFill="1" applyBorder="1" applyAlignment="1" applyProtection="1" quotePrefix="1">
      <alignment horizontal="center"/>
      <protection/>
    </xf>
    <xf numFmtId="0" fontId="24" fillId="0" borderId="12" xfId="0" applyFont="1" applyBorder="1" applyAlignment="1" applyProtection="1">
      <alignment horizontal="center"/>
      <protection/>
    </xf>
    <xf numFmtId="0" fontId="39" fillId="20" borderId="18" xfId="0" applyFont="1" applyFill="1" applyBorder="1" applyAlignment="1" quotePrefix="1">
      <alignment/>
    </xf>
    <xf numFmtId="0" fontId="39" fillId="43" borderId="15" xfId="0" applyFont="1" applyFill="1" applyBorder="1" applyAlignment="1" quotePrefix="1">
      <alignment/>
    </xf>
    <xf numFmtId="0" fontId="39" fillId="43" borderId="18" xfId="0" applyFont="1" applyFill="1" applyBorder="1" applyAlignment="1" quotePrefix="1">
      <alignment/>
    </xf>
    <xf numFmtId="0" fontId="39" fillId="44" borderId="18" xfId="0" applyFont="1" applyFill="1" applyBorder="1" applyAlignment="1" quotePrefix="1">
      <alignment/>
    </xf>
    <xf numFmtId="0" fontId="0" fillId="0" borderId="0" xfId="0" applyFont="1" applyAlignment="1">
      <alignment/>
    </xf>
    <xf numFmtId="0" fontId="24" fillId="33" borderId="23" xfId="58" applyFont="1" applyBorder="1" applyAlignment="1">
      <alignment horizontal="center"/>
      <protection/>
    </xf>
    <xf numFmtId="0" fontId="64" fillId="43" borderId="18" xfId="53" applyFont="1" applyFill="1" applyBorder="1" applyAlignment="1" quotePrefix="1">
      <alignment horizontal="center"/>
    </xf>
    <xf numFmtId="0" fontId="64" fillId="44" borderId="18" xfId="53" applyFont="1" applyFill="1" applyBorder="1" applyAlignment="1" quotePrefix="1">
      <alignment horizontal="center"/>
    </xf>
    <xf numFmtId="0" fontId="64" fillId="20" borderId="18" xfId="53" applyFont="1" applyFill="1" applyBorder="1" applyAlignment="1" quotePrefix="1">
      <alignment horizontal="center"/>
    </xf>
    <xf numFmtId="0" fontId="39" fillId="22" borderId="18" xfId="0" applyFont="1" applyFill="1" applyBorder="1" applyAlignment="1" quotePrefix="1">
      <alignment/>
    </xf>
    <xf numFmtId="0" fontId="0" fillId="0" borderId="0" xfId="0" applyFont="1" applyAlignment="1">
      <alignment vertical="center" wrapText="1"/>
    </xf>
    <xf numFmtId="3" fontId="0" fillId="34" borderId="12" xfId="59" applyFont="1" applyBorder="1" applyAlignment="1">
      <alignment horizontal="centerContinuous" vertical="center"/>
      <protection locked="0"/>
    </xf>
    <xf numFmtId="3" fontId="0" fillId="32" borderId="12" xfId="57" applyFont="1" applyBorder="1" applyAlignment="1">
      <alignment horizontal="centerContinuous" vertical="center"/>
    </xf>
    <xf numFmtId="3" fontId="0" fillId="36" borderId="12" xfId="61" applyFont="1" applyBorder="1" applyAlignment="1">
      <alignment horizontal="centerContinuous" vertical="center"/>
      <protection/>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Font="1" applyAlignment="1">
      <alignment horizontal="left" vertical="center" wrapText="1"/>
    </xf>
    <xf numFmtId="3" fontId="0" fillId="34" borderId="12" xfId="59" applyFont="1" applyBorder="1" applyAlignment="1">
      <alignment horizontal="center" vertical="center"/>
      <protection locked="0"/>
    </xf>
    <xf numFmtId="3" fontId="0" fillId="32" borderId="12" xfId="57" applyFont="1" applyBorder="1" applyAlignment="1">
      <alignment horizontal="center" vertical="center"/>
    </xf>
    <xf numFmtId="3" fontId="0" fillId="36" borderId="12" xfId="61" applyFont="1" applyBorder="1" applyAlignment="1">
      <alignment horizontal="center" vertical="center"/>
      <protection/>
    </xf>
    <xf numFmtId="1" fontId="0" fillId="33" borderId="16" xfId="58" applyNumberFormat="1" applyFont="1" applyBorder="1" applyAlignment="1">
      <alignment/>
      <protection/>
    </xf>
    <xf numFmtId="0" fontId="0" fillId="33" borderId="10" xfId="58" applyFont="1" applyBorder="1" applyAlignment="1">
      <alignment/>
      <protection/>
    </xf>
    <xf numFmtId="1" fontId="0" fillId="33" borderId="20" xfId="58" applyNumberFormat="1" applyFont="1" applyBorder="1" applyAlignment="1">
      <alignment horizontal="right"/>
      <protection/>
    </xf>
    <xf numFmtId="0" fontId="0" fillId="45" borderId="0" xfId="0" applyFont="1" applyFill="1" applyAlignment="1">
      <alignment horizontal="center"/>
    </xf>
    <xf numFmtId="0" fontId="0" fillId="33" borderId="23" xfId="58" applyFont="1" applyBorder="1" applyAlignment="1">
      <alignment/>
      <protection/>
    </xf>
    <xf numFmtId="0" fontId="49" fillId="0" borderId="0" xfId="53" applyFont="1" applyAlignment="1">
      <alignment horizontal="right"/>
    </xf>
    <xf numFmtId="0" fontId="0" fillId="0" borderId="0" xfId="0" applyFont="1" applyFill="1" applyBorder="1" applyAlignment="1">
      <alignment/>
    </xf>
    <xf numFmtId="0" fontId="49" fillId="0" borderId="0" xfId="53" applyFont="1" applyFill="1" applyBorder="1" applyAlignment="1">
      <alignment horizontal="right"/>
    </xf>
    <xf numFmtId="0" fontId="0" fillId="0" borderId="22" xfId="0" applyFont="1" applyBorder="1" applyAlignment="1">
      <alignment/>
    </xf>
    <xf numFmtId="0" fontId="0" fillId="0" borderId="23" xfId="0" applyFont="1" applyBorder="1" applyAlignment="1">
      <alignment/>
    </xf>
    <xf numFmtId="0" fontId="0" fillId="35" borderId="16" xfId="60" applyFont="1" applyBorder="1" applyAlignment="1">
      <alignment horizontal="left"/>
      <protection/>
    </xf>
    <xf numFmtId="0" fontId="0" fillId="0" borderId="10" xfId="0" applyFont="1" applyBorder="1" applyAlignment="1" applyProtection="1">
      <alignment/>
      <protection locked="0"/>
    </xf>
    <xf numFmtId="0" fontId="0" fillId="35" borderId="19" xfId="60" applyFont="1" applyBorder="1" applyAlignment="1">
      <alignment horizontal="left" indent="2"/>
      <protection/>
    </xf>
    <xf numFmtId="0" fontId="0" fillId="0" borderId="0" xfId="0" applyFont="1" applyBorder="1" applyAlignment="1" applyProtection="1">
      <alignment/>
      <protection locked="0"/>
    </xf>
    <xf numFmtId="0" fontId="0" fillId="35" borderId="22" xfId="60" applyFont="1" applyBorder="1" applyAlignment="1">
      <alignment horizontal="left" indent="2"/>
      <protection/>
    </xf>
    <xf numFmtId="0" fontId="0" fillId="0" borderId="23" xfId="0" applyFont="1" applyBorder="1" applyAlignment="1" applyProtection="1">
      <alignment/>
      <protection locked="0"/>
    </xf>
    <xf numFmtId="0" fontId="0" fillId="35" borderId="19" xfId="60" applyFont="1" applyBorder="1" applyAlignment="1" quotePrefix="1">
      <alignment horizontal="left" indent="2"/>
      <protection/>
    </xf>
    <xf numFmtId="0" fontId="0" fillId="35" borderId="19" xfId="60" applyFont="1" applyBorder="1" applyAlignment="1" quotePrefix="1">
      <alignment horizontal="left" indent="4"/>
      <protection/>
    </xf>
    <xf numFmtId="0" fontId="0" fillId="35" borderId="22" xfId="60" applyFont="1" applyBorder="1" applyAlignment="1" quotePrefix="1">
      <alignment horizontal="left" indent="4"/>
      <protection/>
    </xf>
    <xf numFmtId="0" fontId="0" fillId="35" borderId="19" xfId="60" applyFont="1" applyBorder="1" applyAlignment="1" quotePrefix="1">
      <alignment horizontal="left" indent="6"/>
      <protection/>
    </xf>
    <xf numFmtId="0" fontId="0" fillId="35" borderId="22" xfId="60" applyFont="1" applyBorder="1" applyAlignment="1" quotePrefix="1">
      <alignment horizontal="left" indent="2"/>
      <protection/>
    </xf>
    <xf numFmtId="0" fontId="0" fillId="35" borderId="11" xfId="60" applyFont="1" applyBorder="1" applyAlignment="1">
      <alignment horizontal="left"/>
      <protection/>
    </xf>
    <xf numFmtId="0" fontId="0" fillId="0" borderId="13" xfId="0" applyFont="1" applyBorder="1" applyAlignment="1" applyProtection="1">
      <alignment/>
      <protection locked="0"/>
    </xf>
    <xf numFmtId="0" fontId="0" fillId="35" borderId="19" xfId="60" applyFont="1" applyBorder="1" applyAlignment="1">
      <alignment horizontal="left"/>
      <protection/>
    </xf>
    <xf numFmtId="0" fontId="0" fillId="0" borderId="19" xfId="0" applyFont="1" applyBorder="1" applyAlignment="1">
      <alignment/>
    </xf>
    <xf numFmtId="0" fontId="0" fillId="0" borderId="0" xfId="0" applyFont="1" applyBorder="1" applyAlignment="1">
      <alignment/>
    </xf>
    <xf numFmtId="0" fontId="0" fillId="20" borderId="12" xfId="0" applyFont="1" applyFill="1" applyBorder="1" applyAlignment="1">
      <alignment/>
    </xf>
    <xf numFmtId="0" fontId="0" fillId="20" borderId="13" xfId="0" applyFont="1" applyFill="1" applyBorder="1" applyAlignment="1">
      <alignment/>
    </xf>
    <xf numFmtId="0" fontId="0" fillId="35" borderId="16" xfId="60" applyFont="1" applyBorder="1" applyAlignment="1">
      <alignment/>
      <protection/>
    </xf>
    <xf numFmtId="0" fontId="0" fillId="35" borderId="11" xfId="60" applyFont="1" applyBorder="1" applyAlignment="1" quotePrefix="1">
      <alignment/>
      <protection/>
    </xf>
    <xf numFmtId="0" fontId="0" fillId="35" borderId="11" xfId="60" applyFont="1" applyBorder="1" applyAlignment="1">
      <alignment/>
      <protection/>
    </xf>
    <xf numFmtId="0" fontId="0" fillId="35" borderId="19" xfId="60" applyFont="1" applyBorder="1" applyAlignment="1">
      <alignment/>
      <protection/>
    </xf>
    <xf numFmtId="0" fontId="0" fillId="35" borderId="19" xfId="60" applyFont="1" applyBorder="1" applyAlignment="1">
      <alignment horizontal="left" indent="4"/>
      <protection/>
    </xf>
    <xf numFmtId="0" fontId="0" fillId="35" borderId="22" xfId="60" applyFont="1" applyBorder="1" applyAlignment="1">
      <alignment/>
      <protection/>
    </xf>
    <xf numFmtId="0" fontId="0" fillId="20" borderId="12" xfId="0" applyFont="1" applyFill="1" applyBorder="1" applyAlignment="1" applyProtection="1">
      <alignment/>
      <protection locked="0"/>
    </xf>
    <xf numFmtId="0" fontId="0" fillId="20" borderId="13" xfId="0" applyFont="1" applyFill="1" applyBorder="1" applyAlignment="1" applyProtection="1">
      <alignment/>
      <protection locked="0"/>
    </xf>
    <xf numFmtId="0" fontId="0" fillId="35" borderId="15" xfId="60" applyFont="1" applyBorder="1" applyAlignment="1">
      <alignment/>
      <protection/>
    </xf>
    <xf numFmtId="0" fontId="0" fillId="35" borderId="18" xfId="60" applyFont="1" applyBorder="1" applyAlignment="1">
      <alignment/>
      <protection/>
    </xf>
    <xf numFmtId="0" fontId="0" fillId="35" borderId="19" xfId="60" applyFont="1" applyBorder="1" applyAlignment="1" quotePrefix="1">
      <alignment/>
      <protection/>
    </xf>
    <xf numFmtId="0" fontId="0" fillId="0" borderId="11" xfId="0" applyFont="1" applyBorder="1" applyAlignment="1">
      <alignment/>
    </xf>
    <xf numFmtId="0" fontId="0" fillId="0" borderId="13" xfId="0" applyFont="1" applyBorder="1" applyAlignment="1">
      <alignment/>
    </xf>
    <xf numFmtId="0" fontId="0" fillId="35" borderId="18" xfId="60" applyFont="1" applyBorder="1" applyAlignment="1">
      <alignment/>
      <protection/>
    </xf>
    <xf numFmtId="0" fontId="24" fillId="33" borderId="23" xfId="58" applyFont="1" applyBorder="1" applyAlignment="1">
      <alignment/>
      <protection/>
    </xf>
    <xf numFmtId="1" fontId="0" fillId="33" borderId="21" xfId="58" applyNumberFormat="1" applyFont="1" applyBorder="1" applyAlignment="1">
      <alignment horizontal="right"/>
      <protection/>
    </xf>
    <xf numFmtId="3" fontId="0" fillId="0" borderId="0" xfId="57" applyFont="1" applyFill="1" applyBorder="1" applyAlignment="1" applyProtection="1">
      <alignment horizontal="center" vertical="center"/>
      <protection locked="0"/>
    </xf>
    <xf numFmtId="0" fontId="24" fillId="35" borderId="15" xfId="60" applyFont="1" applyBorder="1" applyAlignment="1">
      <alignment wrapText="1"/>
      <protection/>
    </xf>
    <xf numFmtId="3" fontId="0" fillId="32" borderId="15" xfId="57" applyFont="1" applyBorder="1" applyProtection="1">
      <alignment horizontal="right" vertical="center"/>
      <protection locked="0"/>
    </xf>
    <xf numFmtId="9" fontId="0" fillId="32" borderId="15" xfId="57" applyNumberFormat="1" applyFont="1" applyBorder="1" applyProtection="1">
      <alignment horizontal="right" vertical="center"/>
      <protection locked="0"/>
    </xf>
    <xf numFmtId="3" fontId="0" fillId="34" borderId="18" xfId="59" applyFont="1" applyBorder="1" applyProtection="1">
      <alignment horizontal="right" vertical="center"/>
      <protection locked="0"/>
    </xf>
    <xf numFmtId="9" fontId="0" fillId="32" borderId="18" xfId="57" applyNumberFormat="1" applyFont="1" applyBorder="1" applyProtection="1">
      <alignment horizontal="right" vertical="center"/>
      <protection locked="0"/>
    </xf>
    <xf numFmtId="3" fontId="0" fillId="34" borderId="14" xfId="59" applyFont="1" applyBorder="1" applyProtection="1">
      <alignment horizontal="right" vertical="center"/>
      <protection locked="0"/>
    </xf>
    <xf numFmtId="9" fontId="0" fillId="32" borderId="14" xfId="57" applyNumberFormat="1" applyFont="1" applyBorder="1" applyProtection="1">
      <alignment horizontal="right" vertical="center"/>
      <protection locked="0"/>
    </xf>
    <xf numFmtId="3" fontId="0" fillId="32" borderId="18" xfId="57" applyFont="1" applyBorder="1" applyProtection="1">
      <alignment horizontal="right" vertical="center"/>
      <protection locked="0"/>
    </xf>
    <xf numFmtId="3" fontId="0" fillId="34" borderId="12" xfId="59" applyFont="1" applyBorder="1" applyProtection="1">
      <alignment horizontal="right" vertical="center"/>
      <protection locked="0"/>
    </xf>
    <xf numFmtId="9" fontId="0" fillId="32" borderId="12" xfId="57" applyNumberFormat="1" applyFont="1" applyBorder="1" applyProtection="1">
      <alignment horizontal="right" vertical="center"/>
      <protection locked="0"/>
    </xf>
    <xf numFmtId="1" fontId="0" fillId="32" borderId="12" xfId="57" applyNumberFormat="1" applyFont="1" applyBorder="1" applyProtection="1">
      <alignment horizontal="right" vertical="center"/>
      <protection locked="0"/>
    </xf>
    <xf numFmtId="0" fontId="24" fillId="35" borderId="18" xfId="60" applyFont="1" applyBorder="1" applyAlignment="1">
      <alignment wrapText="1"/>
      <protection/>
    </xf>
    <xf numFmtId="3" fontId="0" fillId="32" borderId="12" xfId="57" applyFont="1" applyBorder="1" applyProtection="1">
      <alignment horizontal="right" vertical="center"/>
      <protection locked="0"/>
    </xf>
    <xf numFmtId="3" fontId="0" fillId="36" borderId="14" xfId="61" applyNumberFormat="1" applyFont="1" applyBorder="1" applyAlignment="1" applyProtection="1">
      <alignment horizontal="right"/>
      <protection locked="0"/>
    </xf>
    <xf numFmtId="3" fontId="0" fillId="34" borderId="14" xfId="59" applyNumberFormat="1" applyFont="1" applyBorder="1" applyProtection="1">
      <alignment horizontal="right" vertical="center"/>
      <protection locked="0"/>
    </xf>
    <xf numFmtId="3" fontId="0" fillId="32" borderId="15" xfId="57" applyNumberFormat="1" applyFont="1" applyBorder="1" applyProtection="1">
      <alignment horizontal="right" vertical="center"/>
      <protection locked="0"/>
    </xf>
    <xf numFmtId="0" fontId="24" fillId="35" borderId="15" xfId="60" applyFont="1" applyBorder="1" applyAlignment="1" applyProtection="1">
      <alignment wrapText="1"/>
      <protection locked="0"/>
    </xf>
    <xf numFmtId="3" fontId="0" fillId="34" borderId="15" xfId="59" applyFont="1" applyBorder="1" applyProtection="1">
      <alignment horizontal="right" vertical="center"/>
      <protection locked="0"/>
    </xf>
    <xf numFmtId="0" fontId="24" fillId="0" borderId="17" xfId="60" applyFont="1" applyFill="1" applyBorder="1" applyAlignment="1">
      <alignment wrapText="1"/>
      <protection/>
    </xf>
    <xf numFmtId="3" fontId="0" fillId="36" borderId="14" xfId="61" applyFont="1" applyBorder="1" applyAlignment="1" applyProtection="1">
      <alignment/>
      <protection locked="0"/>
    </xf>
    <xf numFmtId="3" fontId="0" fillId="36" borderId="14" xfId="61" applyFont="1" applyBorder="1" applyAlignment="1" applyProtection="1">
      <alignment horizontal="right"/>
      <protection locked="0"/>
    </xf>
    <xf numFmtId="0" fontId="31" fillId="33" borderId="23" xfId="58" applyFont="1" applyBorder="1" applyAlignment="1">
      <alignment/>
      <protection/>
    </xf>
    <xf numFmtId="0" fontId="0" fillId="45" borderId="0" xfId="0" applyFont="1" applyFill="1" applyAlignment="1">
      <alignment/>
    </xf>
    <xf numFmtId="0" fontId="0" fillId="0" borderId="0" xfId="0" applyFont="1" applyFill="1" applyAlignment="1" applyProtection="1">
      <alignment/>
      <protection/>
    </xf>
    <xf numFmtId="0" fontId="0" fillId="0" borderId="0" xfId="0" applyFont="1" applyAlignment="1">
      <alignment horizontal="right"/>
    </xf>
    <xf numFmtId="0" fontId="0" fillId="0" borderId="0" xfId="0" applyFont="1" applyFill="1" applyAlignment="1">
      <alignment/>
    </xf>
    <xf numFmtId="0" fontId="0" fillId="0" borderId="0" xfId="0" applyFont="1" applyAlignment="1" applyProtection="1">
      <alignment/>
      <protection/>
    </xf>
    <xf numFmtId="0" fontId="0" fillId="20" borderId="20" xfId="0" applyFont="1" applyFill="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35" borderId="14" xfId="60" applyFont="1" applyBorder="1" applyAlignment="1">
      <alignment/>
      <protection/>
    </xf>
    <xf numFmtId="0" fontId="0" fillId="0" borderId="0" xfId="60" applyFont="1" applyFill="1" applyBorder="1" applyAlignment="1">
      <alignment/>
      <protection/>
    </xf>
    <xf numFmtId="3" fontId="0" fillId="34" borderId="15" xfId="59" applyFont="1" applyBorder="1">
      <alignment horizontal="right" vertical="center"/>
      <protection locked="0"/>
    </xf>
    <xf numFmtId="0" fontId="0" fillId="35" borderId="12" xfId="60" applyFont="1" applyBorder="1" applyAlignment="1">
      <alignment/>
      <protection/>
    </xf>
    <xf numFmtId="3" fontId="0" fillId="34" borderId="14" xfId="59" applyFont="1" applyBorder="1">
      <alignment horizontal="right" vertical="center"/>
      <protection locked="0"/>
    </xf>
    <xf numFmtId="1" fontId="0" fillId="34" borderId="15" xfId="59" applyNumberFormat="1" applyFont="1" applyBorder="1" applyAlignment="1">
      <alignment horizontal="right" vertical="center"/>
      <protection locked="0"/>
    </xf>
    <xf numFmtId="3" fontId="0" fillId="32" borderId="0" xfId="57" applyFont="1">
      <alignment horizontal="right" vertical="center"/>
    </xf>
    <xf numFmtId="3" fontId="0" fillId="0" borderId="0" xfId="59" applyFont="1" applyFill="1" applyBorder="1" applyProtection="1">
      <alignment horizontal="right" vertical="center"/>
      <protection/>
    </xf>
    <xf numFmtId="180" fontId="0" fillId="34" borderId="12" xfId="59" applyNumberFormat="1" applyFont="1" applyBorder="1">
      <alignment horizontal="right" vertical="center"/>
      <protection locked="0"/>
    </xf>
    <xf numFmtId="3" fontId="0" fillId="34" borderId="15" xfId="59" applyFont="1" applyBorder="1" applyAlignment="1">
      <alignment/>
      <protection locked="0"/>
    </xf>
    <xf numFmtId="3" fontId="0" fillId="34" borderId="18" xfId="59" applyFont="1" applyBorder="1" applyAlignment="1">
      <alignment/>
      <protection locked="0"/>
    </xf>
    <xf numFmtId="3" fontId="0" fillId="34" borderId="14" xfId="59" applyFont="1" applyBorder="1" applyAlignment="1">
      <alignment/>
      <protection locked="0"/>
    </xf>
    <xf numFmtId="0" fontId="65" fillId="33" borderId="23" xfId="58" applyFont="1" applyBorder="1" applyAlignment="1">
      <alignment horizontal="left"/>
      <protection/>
    </xf>
    <xf numFmtId="0" fontId="62" fillId="0" borderId="0" xfId="0" applyFont="1" applyBorder="1" applyAlignment="1">
      <alignment/>
    </xf>
    <xf numFmtId="0" fontId="66" fillId="20" borderId="11" xfId="0" applyFont="1" applyFill="1" applyBorder="1" applyAlignment="1">
      <alignment/>
    </xf>
    <xf numFmtId="0" fontId="66" fillId="20" borderId="13" xfId="0" applyFont="1" applyFill="1" applyBorder="1" applyAlignment="1">
      <alignment/>
    </xf>
    <xf numFmtId="0" fontId="66" fillId="20" borderId="17" xfId="0" applyFont="1" applyFill="1" applyBorder="1" applyAlignment="1">
      <alignment/>
    </xf>
    <xf numFmtId="0" fontId="67" fillId="20" borderId="12" xfId="0" applyFont="1" applyFill="1" applyBorder="1" applyAlignment="1" applyProtection="1">
      <alignment/>
      <protection locked="0"/>
    </xf>
    <xf numFmtId="1" fontId="0" fillId="33" borderId="10" xfId="58" applyNumberFormat="1" applyFont="1" applyBorder="1" applyAlignment="1">
      <alignment horizontal="right"/>
      <protection/>
    </xf>
    <xf numFmtId="1" fontId="0" fillId="33" borderId="23" xfId="58" applyNumberFormat="1" applyFont="1" applyBorder="1" applyAlignment="1">
      <alignment/>
      <protection/>
    </xf>
    <xf numFmtId="1" fontId="0" fillId="33" borderId="23" xfId="58" applyNumberFormat="1" applyFont="1" applyBorder="1" applyAlignment="1">
      <alignment horizontal="right"/>
      <protection/>
    </xf>
    <xf numFmtId="3" fontId="0" fillId="0" borderId="0" xfId="0" applyNumberFormat="1" applyFont="1" applyAlignment="1">
      <alignment/>
    </xf>
    <xf numFmtId="0" fontId="0" fillId="35" borderId="18" xfId="60" applyFont="1" applyBorder="1" applyAlignment="1">
      <alignment horizontal="left" indent="1"/>
      <protection/>
    </xf>
    <xf numFmtId="0" fontId="0" fillId="0" borderId="0" xfId="64" applyFont="1">
      <alignment/>
      <protection/>
    </xf>
    <xf numFmtId="0" fontId="0" fillId="35" borderId="15" xfId="60" applyFont="1" applyBorder="1" applyAlignment="1" quotePrefix="1">
      <alignment/>
      <protection/>
    </xf>
    <xf numFmtId="0" fontId="0" fillId="35" borderId="18" xfId="60" applyFont="1" applyBorder="1" applyAlignment="1" quotePrefix="1">
      <alignment/>
      <protection/>
    </xf>
    <xf numFmtId="0" fontId="0" fillId="35" borderId="12" xfId="60" applyFont="1" applyBorder="1" applyAlignment="1" quotePrefix="1">
      <alignment/>
      <protection/>
    </xf>
    <xf numFmtId="0" fontId="26" fillId="33" borderId="10" xfId="58" applyFont="1" applyBorder="1" applyAlignment="1">
      <alignment/>
      <protection/>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horizontal="center" wrapText="1"/>
    </xf>
    <xf numFmtId="0" fontId="61" fillId="0" borderId="0" xfId="0" applyFont="1" applyFill="1" applyBorder="1" applyAlignment="1">
      <alignment horizontal="right"/>
    </xf>
    <xf numFmtId="0" fontId="49" fillId="0" borderId="0" xfId="53" applyFont="1" applyFill="1" applyBorder="1" applyAlignment="1">
      <alignment horizontal="center"/>
    </xf>
    <xf numFmtId="3" fontId="0" fillId="32" borderId="15" xfId="57" applyFont="1" applyBorder="1">
      <alignment horizontal="right" vertical="center"/>
    </xf>
    <xf numFmtId="3" fontId="0" fillId="32" borderId="18" xfId="57" applyFont="1" applyBorder="1">
      <alignment horizontal="right" vertical="center"/>
    </xf>
    <xf numFmtId="0" fontId="26" fillId="31" borderId="15" xfId="56" applyFont="1" applyBorder="1">
      <alignment/>
      <protection/>
    </xf>
    <xf numFmtId="0" fontId="26" fillId="31" borderId="14" xfId="56" applyFont="1" applyBorder="1">
      <alignment/>
      <protection/>
    </xf>
    <xf numFmtId="3" fontId="0" fillId="32" borderId="14" xfId="57" applyFont="1" applyBorder="1">
      <alignment horizontal="right" vertical="center"/>
    </xf>
    <xf numFmtId="3" fontId="0" fillId="32" borderId="12" xfId="57" applyFont="1" applyBorder="1">
      <alignment horizontal="right" vertical="center"/>
    </xf>
    <xf numFmtId="0" fontId="26" fillId="31" borderId="18" xfId="56" applyFont="1" applyBorder="1">
      <alignment/>
      <protection/>
    </xf>
    <xf numFmtId="0" fontId="26" fillId="31" borderId="16" xfId="56" applyFont="1" applyBorder="1">
      <alignment/>
      <protection/>
    </xf>
    <xf numFmtId="0" fontId="26" fillId="31" borderId="20" xfId="56" applyFont="1" applyBorder="1">
      <alignment/>
      <protection/>
    </xf>
    <xf numFmtId="0" fontId="26" fillId="31" borderId="22" xfId="56" applyFont="1" applyBorder="1">
      <alignment/>
      <protection/>
    </xf>
    <xf numFmtId="0" fontId="26" fillId="31" borderId="21" xfId="56" applyFont="1" applyBorder="1">
      <alignment/>
      <protection/>
    </xf>
    <xf numFmtId="0" fontId="26" fillId="31" borderId="19" xfId="56" applyFont="1" applyBorder="1">
      <alignment/>
      <protection/>
    </xf>
    <xf numFmtId="0" fontId="31" fillId="33" borderId="23" xfId="58" applyFont="1" applyBorder="1" applyAlignment="1">
      <alignment horizontal="left"/>
      <protection/>
    </xf>
    <xf numFmtId="0" fontId="66" fillId="20" borderId="16" xfId="0" applyFont="1" applyFill="1" applyBorder="1" applyAlignment="1">
      <alignment/>
    </xf>
    <xf numFmtId="0" fontId="66" fillId="20" borderId="10" xfId="0" applyFont="1" applyFill="1" applyBorder="1" applyAlignment="1">
      <alignment/>
    </xf>
    <xf numFmtId="0" fontId="66" fillId="20" borderId="10" xfId="0" applyFont="1" applyFill="1" applyBorder="1" applyAlignment="1">
      <alignment horizontal="center" vertical="top" wrapText="1"/>
    </xf>
    <xf numFmtId="0" fontId="66" fillId="20" borderId="10" xfId="0" applyFont="1" applyFill="1" applyBorder="1" applyAlignment="1">
      <alignment horizontal="center" vertical="top"/>
    </xf>
    <xf numFmtId="0" fontId="66" fillId="20" borderId="10" xfId="0" applyFont="1" applyFill="1" applyBorder="1" applyAlignment="1">
      <alignment vertical="top"/>
    </xf>
    <xf numFmtId="0" fontId="66" fillId="20" borderId="20" xfId="0" applyFont="1" applyFill="1" applyBorder="1" applyAlignment="1">
      <alignment horizontal="center" vertical="top" wrapText="1"/>
    </xf>
    <xf numFmtId="0" fontId="66" fillId="20" borderId="19" xfId="0" applyFont="1" applyFill="1" applyBorder="1" applyAlignment="1">
      <alignment/>
    </xf>
    <xf numFmtId="0" fontId="66" fillId="20" borderId="0" xfId="0" applyFont="1" applyFill="1" applyBorder="1" applyAlignment="1">
      <alignment/>
    </xf>
    <xf numFmtId="0" fontId="66" fillId="20" borderId="0" xfId="0" applyFont="1" applyFill="1" applyBorder="1" applyAlignment="1">
      <alignment horizontal="center"/>
    </xf>
    <xf numFmtId="0" fontId="66" fillId="20" borderId="0" xfId="0" applyFont="1" applyFill="1" applyBorder="1" applyAlignment="1">
      <alignment horizontal="center" vertical="top" wrapText="1"/>
    </xf>
    <xf numFmtId="0" fontId="66" fillId="20" borderId="24" xfId="0" applyFont="1" applyFill="1" applyBorder="1" applyAlignment="1">
      <alignment horizontal="center" vertical="top" wrapText="1"/>
    </xf>
    <xf numFmtId="0" fontId="66" fillId="20" borderId="22" xfId="0" applyFont="1" applyFill="1" applyBorder="1" applyAlignment="1">
      <alignment/>
    </xf>
    <xf numFmtId="0" fontId="66" fillId="20" borderId="23" xfId="0" applyFont="1" applyFill="1" applyBorder="1" applyAlignment="1">
      <alignment/>
    </xf>
    <xf numFmtId="0" fontId="66" fillId="20" borderId="23" xfId="0" applyFont="1" applyFill="1" applyBorder="1" applyAlignment="1">
      <alignment horizontal="center" wrapText="1"/>
    </xf>
    <xf numFmtId="0" fontId="66" fillId="20" borderId="21" xfId="0" applyFont="1" applyFill="1" applyBorder="1" applyAlignment="1">
      <alignment horizontal="center" wrapText="1"/>
    </xf>
    <xf numFmtId="0" fontId="0" fillId="39" borderId="0" xfId="0" applyFont="1" applyFill="1" applyAlignment="1">
      <alignment horizontal="center"/>
    </xf>
    <xf numFmtId="0" fontId="0" fillId="39" borderId="0" xfId="0" applyFont="1" applyFill="1" applyAlignment="1">
      <alignment/>
    </xf>
    <xf numFmtId="0" fontId="42" fillId="0" borderId="0" xfId="0" applyFont="1" applyFill="1" applyBorder="1" applyAlignment="1">
      <alignment vertical="center"/>
    </xf>
    <xf numFmtId="0" fontId="42" fillId="20" borderId="17" xfId="0" applyFont="1" applyFill="1" applyBorder="1" applyAlignment="1">
      <alignment horizontal="right"/>
    </xf>
    <xf numFmtId="0" fontId="42" fillId="0" borderId="0" xfId="0" applyFont="1" applyFill="1" applyBorder="1" applyAlignment="1">
      <alignment horizontal="right"/>
    </xf>
    <xf numFmtId="0" fontId="0" fillId="0" borderId="0" xfId="0" applyFont="1" applyAlignment="1">
      <alignment horizontal="center" vertical="top"/>
    </xf>
    <xf numFmtId="3" fontId="0" fillId="0" borderId="0" xfId="59" applyFont="1" applyFill="1">
      <alignment horizontal="right" vertical="center"/>
      <protection locked="0"/>
    </xf>
    <xf numFmtId="3" fontId="0" fillId="34" borderId="18" xfId="59" applyFont="1" applyBorder="1" applyAlignment="1" applyProtection="1">
      <alignment horizontal="center" vertical="center"/>
      <protection locked="0"/>
    </xf>
    <xf numFmtId="3" fontId="0" fillId="0" borderId="0" xfId="59" applyFont="1" applyFill="1" applyBorder="1">
      <alignment horizontal="right" vertical="center"/>
      <protection locked="0"/>
    </xf>
    <xf numFmtId="0" fontId="0" fillId="35" borderId="23" xfId="60" applyFont="1" applyBorder="1" applyAlignment="1">
      <alignment/>
      <protection/>
    </xf>
    <xf numFmtId="3" fontId="0" fillId="34" borderId="14" xfId="59" applyFont="1" applyBorder="1" applyAlignment="1" applyProtection="1">
      <alignment horizontal="center" vertical="center"/>
      <protection locked="0"/>
    </xf>
    <xf numFmtId="3" fontId="0" fillId="34" borderId="15" xfId="59" applyFont="1" applyBorder="1" applyAlignment="1" applyProtection="1">
      <alignment horizontal="center" vertical="center"/>
      <protection locked="0"/>
    </xf>
    <xf numFmtId="0" fontId="0" fillId="35" borderId="18" xfId="60" applyFont="1" applyBorder="1" applyAlignment="1">
      <alignment wrapText="1"/>
      <protection/>
    </xf>
    <xf numFmtId="3" fontId="0" fillId="35" borderId="20" xfId="60" applyNumberFormat="1" applyFont="1" applyBorder="1" applyAlignment="1">
      <alignment horizontal="right" vertical="center"/>
      <protection/>
    </xf>
    <xf numFmtId="3" fontId="0" fillId="35" borderId="24" xfId="60" applyNumberFormat="1" applyFont="1" applyBorder="1" applyAlignment="1">
      <alignment horizontal="right" vertical="center"/>
      <protection/>
    </xf>
    <xf numFmtId="3" fontId="0" fillId="35" borderId="21" xfId="60" applyNumberFormat="1" applyFont="1" applyBorder="1" applyAlignment="1">
      <alignment horizontal="right" vertical="center"/>
      <protection/>
    </xf>
    <xf numFmtId="3" fontId="0" fillId="0" borderId="0" xfId="57" applyFont="1" applyFill="1" applyBorder="1">
      <alignment horizontal="right" vertical="center"/>
    </xf>
    <xf numFmtId="0" fontId="24" fillId="33" borderId="23" xfId="58" applyFont="1" applyBorder="1" applyAlignment="1">
      <alignment horizontal="centerContinuous"/>
      <protection/>
    </xf>
    <xf numFmtId="0" fontId="24" fillId="33" borderId="23" xfId="58" applyFont="1" applyBorder="1" applyAlignment="1">
      <alignment horizontal="right"/>
      <protection/>
    </xf>
    <xf numFmtId="0" fontId="26" fillId="31" borderId="24" xfId="56" applyFont="1" applyBorder="1">
      <alignment/>
      <protection/>
    </xf>
    <xf numFmtId="0" fontId="26" fillId="31" borderId="0" xfId="56" applyFont="1" applyBorder="1">
      <alignment/>
      <protection/>
    </xf>
    <xf numFmtId="0" fontId="26" fillId="31" borderId="17" xfId="56" applyFont="1" applyBorder="1">
      <alignment/>
      <protection/>
    </xf>
    <xf numFmtId="3" fontId="0" fillId="34" borderId="12" xfId="59" applyFont="1" applyBorder="1" applyAlignment="1" applyProtection="1">
      <alignment horizontal="center" vertical="center"/>
      <protection locked="0"/>
    </xf>
    <xf numFmtId="0" fontId="49" fillId="0" borderId="0" xfId="53" applyFont="1" applyFill="1" applyBorder="1" applyAlignment="1" quotePrefix="1">
      <alignment horizontal="right" vertical="center"/>
    </xf>
    <xf numFmtId="3" fontId="0" fillId="0" borderId="0" xfId="59" applyFont="1" applyFill="1" applyBorder="1" applyAlignment="1" applyProtection="1">
      <alignment horizontal="center" vertical="center"/>
      <protection locked="0"/>
    </xf>
    <xf numFmtId="0" fontId="0" fillId="0" borderId="0" xfId="60" applyFont="1" applyFill="1" applyBorder="1" applyAlignment="1">
      <alignment/>
      <protection/>
    </xf>
    <xf numFmtId="0" fontId="26" fillId="31" borderId="13" xfId="56" applyFont="1" applyBorder="1">
      <alignment/>
      <protection/>
    </xf>
    <xf numFmtId="3" fontId="0" fillId="34" borderId="24" xfId="59" applyFont="1" applyBorder="1" applyProtection="1">
      <alignment horizontal="right" vertical="center"/>
      <protection locked="0"/>
    </xf>
    <xf numFmtId="0" fontId="26" fillId="31" borderId="10" xfId="56" applyFont="1" applyBorder="1">
      <alignment/>
      <protection/>
    </xf>
    <xf numFmtId="1" fontId="0" fillId="33" borderId="23" xfId="58" applyNumberFormat="1" applyFont="1" applyBorder="1" applyAlignment="1">
      <alignment horizontal="left"/>
      <protection/>
    </xf>
    <xf numFmtId="3" fontId="0" fillId="34" borderId="20" xfId="59" applyFont="1" applyBorder="1" applyProtection="1">
      <alignment horizontal="right" vertical="center"/>
      <protection locked="0"/>
    </xf>
    <xf numFmtId="3" fontId="0" fillId="34" borderId="21" xfId="59" applyFont="1" applyBorder="1" applyProtection="1">
      <alignment horizontal="right" vertical="center"/>
      <protection locked="0"/>
    </xf>
    <xf numFmtId="3" fontId="52" fillId="0" borderId="19" xfId="57" applyFill="1" applyBorder="1" applyProtection="1">
      <alignment horizontal="right" vertical="center"/>
      <protection locked="0"/>
    </xf>
    <xf numFmtId="0" fontId="68" fillId="0" borderId="0" xfId="0" applyFont="1" applyAlignment="1">
      <alignment/>
    </xf>
    <xf numFmtId="3" fontId="62" fillId="0" borderId="0" xfId="0" applyNumberFormat="1" applyFont="1" applyAlignment="1">
      <alignment/>
    </xf>
    <xf numFmtId="0" fontId="62" fillId="0" borderId="0" xfId="0" applyFont="1" applyAlignment="1">
      <alignment/>
    </xf>
    <xf numFmtId="0" fontId="24" fillId="0" borderId="0" xfId="0" applyFont="1" applyAlignment="1">
      <alignment/>
    </xf>
    <xf numFmtId="0" fontId="26" fillId="0" borderId="0" xfId="0" applyFont="1" applyAlignment="1" quotePrefix="1">
      <alignment/>
    </xf>
    <xf numFmtId="3" fontId="26" fillId="0" borderId="0" xfId="0" applyNumberFormat="1" applyFont="1" applyAlignment="1">
      <alignment/>
    </xf>
    <xf numFmtId="0" fontId="0" fillId="0" borderId="0" xfId="0" applyFont="1" applyAlignment="1">
      <alignment horizontal="left" vertical="center" wrapText="1"/>
    </xf>
    <xf numFmtId="0" fontId="66" fillId="20" borderId="11" xfId="0" applyFont="1" applyFill="1" applyBorder="1" applyAlignment="1">
      <alignment wrapText="1"/>
    </xf>
    <xf numFmtId="0" fontId="66" fillId="20" borderId="13" xfId="0" applyFont="1" applyFill="1" applyBorder="1" applyAlignment="1">
      <alignment wrapText="1"/>
    </xf>
    <xf numFmtId="0" fontId="66" fillId="20" borderId="17" xfId="0" applyFont="1" applyFill="1" applyBorder="1" applyAlignment="1">
      <alignment wrapText="1"/>
    </xf>
    <xf numFmtId="0" fontId="0" fillId="45" borderId="0" xfId="0" applyFont="1" applyFill="1" applyAlignment="1">
      <alignment horizontal="center" wrapText="1"/>
    </xf>
    <xf numFmtId="0" fontId="0" fillId="35" borderId="18" xfId="60" applyFont="1" applyBorder="1" applyAlignment="1">
      <alignment/>
      <protection/>
    </xf>
    <xf numFmtId="0" fontId="42" fillId="40" borderId="11" xfId="0" applyFont="1" applyFill="1" applyBorder="1" applyAlignment="1">
      <alignment vertical="center" wrapText="1"/>
    </xf>
    <xf numFmtId="0" fontId="0" fillId="35" borderId="18" xfId="60" applyFont="1" applyBorder="1" applyAlignment="1">
      <alignment wrapText="1"/>
      <protection/>
    </xf>
    <xf numFmtId="0" fontId="0" fillId="35" borderId="14" xfId="60" applyFont="1" applyBorder="1" applyAlignment="1">
      <alignment/>
      <protection/>
    </xf>
    <xf numFmtId="0" fontId="26" fillId="35" borderId="11" xfId="60" applyFont="1" applyBorder="1" applyAlignment="1">
      <alignment horizontal="left" vertical="center" wrapText="1"/>
      <protection/>
    </xf>
    <xf numFmtId="9" fontId="0" fillId="32" borderId="12" xfId="57" applyNumberFormat="1" applyFont="1" applyBorder="1">
      <alignment horizontal="right" vertical="center"/>
    </xf>
    <xf numFmtId="3" fontId="0" fillId="32" borderId="12" xfId="57" applyNumberFormat="1" applyFont="1" applyBorder="1">
      <alignment horizontal="right" vertical="center"/>
    </xf>
    <xf numFmtId="0" fontId="0" fillId="35" borderId="19" xfId="60" applyFont="1" applyBorder="1" applyAlignment="1">
      <alignment horizontal="left" indent="2"/>
      <protection/>
    </xf>
    <xf numFmtId="0" fontId="0" fillId="35" borderId="19" xfId="60" applyFont="1" applyBorder="1" applyAlignment="1">
      <alignment horizontal="left"/>
      <protection/>
    </xf>
    <xf numFmtId="0" fontId="0" fillId="35" borderId="19" xfId="60" applyFont="1" applyBorder="1" applyAlignment="1">
      <alignment horizontal="left" wrapText="1" indent="3"/>
      <protection/>
    </xf>
    <xf numFmtId="0" fontId="0" fillId="35" borderId="19" xfId="60" applyFont="1" applyBorder="1" applyAlignment="1">
      <alignment horizontal="left" indent="3"/>
      <protection/>
    </xf>
    <xf numFmtId="0" fontId="0" fillId="35" borderId="19" xfId="60" applyFont="1" applyBorder="1" applyAlignment="1">
      <alignment wrapText="1"/>
      <protection/>
    </xf>
    <xf numFmtId="0" fontId="0" fillId="35" borderId="18" xfId="60" applyFont="1" applyBorder="1" applyAlignment="1">
      <alignment/>
      <protection/>
    </xf>
    <xf numFmtId="0" fontId="0" fillId="35" borderId="19" xfId="60" applyFont="1" applyBorder="1" applyAlignment="1" quotePrefix="1">
      <alignment/>
      <protection/>
    </xf>
    <xf numFmtId="3" fontId="0" fillId="34" borderId="18" xfId="59" applyFont="1" applyBorder="1" applyProtection="1">
      <alignment horizontal="right" vertical="center"/>
      <protection locked="0"/>
    </xf>
    <xf numFmtId="0" fontId="0" fillId="35" borderId="19" xfId="60" applyFont="1" applyBorder="1" applyAlignment="1">
      <alignment/>
      <protection/>
    </xf>
    <xf numFmtId="0" fontId="0" fillId="35" borderId="22" xfId="60" applyFont="1" applyBorder="1" applyAlignment="1">
      <alignment/>
      <protection/>
    </xf>
    <xf numFmtId="3" fontId="0" fillId="34" borderId="18" xfId="59" applyFont="1" applyBorder="1" applyProtection="1">
      <alignment horizontal="right" vertical="center"/>
      <protection locked="0"/>
    </xf>
    <xf numFmtId="0" fontId="0" fillId="35" borderId="15" xfId="60" applyFont="1" applyBorder="1" applyAlignment="1">
      <alignment wrapText="1"/>
      <protection/>
    </xf>
    <xf numFmtId="0" fontId="26" fillId="31" borderId="23" xfId="56" applyFont="1" applyBorder="1">
      <alignment/>
      <protection/>
    </xf>
    <xf numFmtId="0" fontId="0" fillId="35" borderId="11" xfId="60" applyFont="1" applyBorder="1" applyAlignment="1">
      <alignment/>
      <protection/>
    </xf>
    <xf numFmtId="0" fontId="0" fillId="35" borderId="11" xfId="60" applyFont="1" applyBorder="1" applyAlignment="1">
      <alignment wrapText="1"/>
      <protection/>
    </xf>
    <xf numFmtId="0" fontId="0" fillId="35" borderId="22" xfId="60" applyFont="1" applyBorder="1" applyAlignment="1">
      <alignment horizontal="left" indent="2"/>
      <protection/>
    </xf>
    <xf numFmtId="0" fontId="26" fillId="0" borderId="0" xfId="0" applyFont="1" applyFill="1" applyAlignment="1">
      <alignment/>
    </xf>
    <xf numFmtId="0" fontId="26" fillId="0" borderId="0" xfId="0" applyFont="1" applyAlignment="1">
      <alignment horizontal="right"/>
    </xf>
    <xf numFmtId="0" fontId="42" fillId="40" borderId="12" xfId="0" applyFont="1" applyFill="1" applyBorder="1" applyAlignment="1">
      <alignment horizontal="left" vertical="center" wrapText="1"/>
    </xf>
    <xf numFmtId="0" fontId="26" fillId="35" borderId="18" xfId="60" applyFont="1" applyBorder="1" applyAlignment="1">
      <alignment horizontal="left" vertical="center" wrapText="1"/>
      <protection/>
    </xf>
    <xf numFmtId="0" fontId="0" fillId="35" borderId="18" xfId="60" applyFont="1" applyBorder="1" applyAlignment="1">
      <alignment horizontal="left"/>
      <protection/>
    </xf>
    <xf numFmtId="0" fontId="0" fillId="35" borderId="14" xfId="60" applyFont="1" applyBorder="1" applyAlignment="1">
      <alignment horizontal="left"/>
      <protection/>
    </xf>
    <xf numFmtId="0" fontId="0" fillId="0" borderId="0" xfId="0" applyFont="1" applyFill="1" applyAlignment="1">
      <alignment horizontal="center"/>
    </xf>
    <xf numFmtId="3" fontId="0" fillId="34" borderId="0" xfId="59" applyFont="1" applyBorder="1" applyProtection="1">
      <alignment horizontal="right" vertical="center"/>
      <protection locked="0"/>
    </xf>
    <xf numFmtId="3" fontId="0" fillId="34" borderId="19" xfId="59" applyFont="1" applyBorder="1" applyProtection="1">
      <alignment horizontal="right" vertical="center"/>
      <protection locked="0"/>
    </xf>
    <xf numFmtId="3" fontId="0" fillId="34" borderId="22" xfId="59" applyFont="1" applyBorder="1" applyProtection="1">
      <alignment horizontal="right" vertical="center"/>
      <protection locked="0"/>
    </xf>
    <xf numFmtId="3" fontId="0" fillId="34" borderId="23" xfId="59" applyFont="1" applyBorder="1" applyProtection="1">
      <alignment horizontal="right" vertical="center"/>
      <protection locked="0"/>
    </xf>
    <xf numFmtId="3" fontId="0" fillId="34" borderId="18" xfId="59" applyFont="1" applyBorder="1" applyProtection="1">
      <alignment horizontal="right" vertical="center"/>
      <protection locked="0"/>
    </xf>
    <xf numFmtId="3" fontId="0" fillId="34" borderId="14" xfId="59" applyFont="1" applyBorder="1" applyProtection="1">
      <alignment horizontal="right" vertical="center"/>
      <protection locked="0"/>
    </xf>
    <xf numFmtId="3" fontId="0" fillId="32" borderId="14" xfId="57" applyFont="1" applyBorder="1" applyProtection="1">
      <alignment horizontal="right" vertical="center"/>
      <protection locked="0"/>
    </xf>
    <xf numFmtId="0" fontId="66" fillId="0" borderId="0" xfId="0" applyFont="1" applyFill="1" applyBorder="1" applyAlignment="1">
      <alignment wrapText="1"/>
    </xf>
    <xf numFmtId="0" fontId="60" fillId="40" borderId="16" xfId="0" applyFont="1" applyFill="1" applyBorder="1" applyAlignment="1">
      <alignment horizontal="left" vertical="center" wrapText="1"/>
    </xf>
    <xf numFmtId="0" fontId="0" fillId="35" borderId="14" xfId="60" applyFont="1" applyBorder="1" applyAlignment="1" quotePrefix="1">
      <alignment/>
      <protection/>
    </xf>
    <xf numFmtId="3" fontId="0" fillId="32" borderId="20" xfId="57" applyFont="1" applyBorder="1" applyProtection="1">
      <alignment horizontal="right" vertical="center"/>
      <protection locked="0"/>
    </xf>
    <xf numFmtId="0" fontId="0" fillId="35" borderId="15" xfId="60" applyFont="1" applyBorder="1" applyAlignment="1">
      <alignment horizontal="left"/>
      <protection/>
    </xf>
    <xf numFmtId="0" fontId="0" fillId="35" borderId="18" xfId="60" applyFont="1" applyBorder="1" applyAlignment="1">
      <alignment horizontal="left" indent="2"/>
      <protection/>
    </xf>
    <xf numFmtId="0" fontId="0" fillId="35" borderId="16" xfId="60" applyFont="1" applyBorder="1" applyAlignment="1">
      <alignment/>
      <protection/>
    </xf>
    <xf numFmtId="0" fontId="0" fillId="35" borderId="19" xfId="60" applyFont="1" applyBorder="1" applyAlignment="1">
      <alignment/>
      <protection/>
    </xf>
    <xf numFmtId="0" fontId="0" fillId="35" borderId="22" xfId="60" applyFont="1" applyBorder="1" applyAlignment="1">
      <alignment/>
      <protection/>
    </xf>
    <xf numFmtId="0" fontId="0" fillId="35" borderId="11" xfId="60" applyFont="1" applyBorder="1" applyAlignment="1">
      <alignment/>
      <protection/>
    </xf>
    <xf numFmtId="0" fontId="42" fillId="35" borderId="13" xfId="60" applyFont="1" applyBorder="1" applyAlignment="1">
      <alignment/>
      <protection/>
    </xf>
    <xf numFmtId="0" fontId="42" fillId="35" borderId="17" xfId="60" applyFont="1" applyBorder="1" applyAlignment="1">
      <alignment/>
      <protection/>
    </xf>
    <xf numFmtId="0" fontId="69" fillId="46" borderId="11" xfId="0" applyFont="1" applyFill="1" applyBorder="1" applyAlignment="1">
      <alignment/>
    </xf>
    <xf numFmtId="0" fontId="42" fillId="46" borderId="13" xfId="0" applyFont="1" applyFill="1" applyBorder="1" applyAlignment="1">
      <alignment/>
    </xf>
    <xf numFmtId="0" fontId="42" fillId="46" borderId="17" xfId="0" applyFont="1" applyFill="1" applyBorder="1" applyAlignment="1">
      <alignment horizontal="right"/>
    </xf>
    <xf numFmtId="0" fontId="69" fillId="0" borderId="0" xfId="0" applyFont="1" applyFill="1" applyBorder="1" applyAlignment="1">
      <alignment/>
    </xf>
    <xf numFmtId="0" fontId="0" fillId="0" borderId="0" xfId="0" applyFont="1" applyFill="1" applyBorder="1" applyAlignment="1">
      <alignment horizontal="left"/>
    </xf>
    <xf numFmtId="0" fontId="49" fillId="0" borderId="0" xfId="53" applyFont="1" applyAlignment="1">
      <alignment horizontal="left"/>
    </xf>
    <xf numFmtId="3" fontId="0" fillId="34" borderId="21" xfId="59" applyFont="1" applyBorder="1" applyAlignment="1" applyProtection="1">
      <alignment horizontal="center" vertical="center"/>
      <protection locked="0"/>
    </xf>
    <xf numFmtId="0" fontId="0" fillId="35" borderId="0" xfId="60" applyFont="1" applyBorder="1" applyAlignment="1">
      <alignment/>
      <protection/>
    </xf>
    <xf numFmtId="0" fontId="42" fillId="35" borderId="20" xfId="60" applyFont="1" applyBorder="1" applyAlignment="1">
      <alignment/>
      <protection/>
    </xf>
    <xf numFmtId="0" fontId="42" fillId="35" borderId="24" xfId="60" applyFont="1" applyBorder="1" applyAlignment="1">
      <alignment/>
      <protection/>
    </xf>
    <xf numFmtId="0" fontId="0" fillId="35" borderId="24" xfId="60" applyFont="1" applyBorder="1" applyAlignment="1">
      <alignment/>
      <protection/>
    </xf>
    <xf numFmtId="0" fontId="42" fillId="35" borderId="23" xfId="60" applyFont="1" applyBorder="1" applyAlignment="1">
      <alignment/>
      <protection/>
    </xf>
    <xf numFmtId="0" fontId="0" fillId="0" borderId="0" xfId="60" applyFont="1" applyFill="1" applyBorder="1" applyAlignment="1">
      <alignment/>
      <protection/>
    </xf>
    <xf numFmtId="0" fontId="42" fillId="0" borderId="0" xfId="60" applyFont="1" applyFill="1" applyBorder="1" applyAlignment="1">
      <alignment/>
      <protection/>
    </xf>
    <xf numFmtId="0" fontId="42" fillId="35" borderId="21" xfId="60" applyFont="1" applyBorder="1" applyAlignment="1">
      <alignment/>
      <protection/>
    </xf>
    <xf numFmtId="0" fontId="0" fillId="35" borderId="19" xfId="60" applyFont="1" applyBorder="1" applyAlignment="1">
      <alignment horizontal="left" wrapText="1" indent="2"/>
      <protection/>
    </xf>
    <xf numFmtId="0" fontId="0" fillId="0" borderId="0" xfId="60" applyFont="1" applyFill="1" applyBorder="1" applyAlignment="1">
      <alignment/>
      <protection/>
    </xf>
    <xf numFmtId="3" fontId="0" fillId="0" borderId="0" xfId="59" applyFont="1" applyFill="1" applyBorder="1" applyProtection="1">
      <alignment horizontal="right" vertical="center"/>
      <protection locked="0"/>
    </xf>
    <xf numFmtId="0" fontId="26" fillId="0" borderId="0" xfId="56" applyFont="1" applyFill="1" applyBorder="1">
      <alignment/>
      <protection/>
    </xf>
    <xf numFmtId="0" fontId="26" fillId="31" borderId="12" xfId="56" applyFont="1" applyBorder="1">
      <alignment/>
      <protection/>
    </xf>
    <xf numFmtId="0" fontId="66" fillId="0" borderId="0" xfId="0" applyFont="1" applyFill="1" applyBorder="1" applyAlignment="1">
      <alignment/>
    </xf>
    <xf numFmtId="0" fontId="70" fillId="0" borderId="0" xfId="0" applyFont="1" applyAlignment="1">
      <alignment horizontal="right"/>
    </xf>
    <xf numFmtId="0" fontId="70" fillId="0" borderId="0" xfId="0" applyFont="1" applyAlignment="1">
      <alignment horizontal="right" vertical="top"/>
    </xf>
    <xf numFmtId="0" fontId="59" fillId="0" borderId="0" xfId="0" applyFont="1" applyFill="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71" fillId="0" borderId="0" xfId="0" applyFont="1" applyFill="1" applyBorder="1" applyAlignment="1">
      <alignment vertical="center"/>
    </xf>
    <xf numFmtId="0" fontId="26" fillId="35" borderId="15" xfId="60" applyFont="1" applyBorder="1" applyAlignment="1">
      <alignment horizontal="left" vertical="center" wrapText="1"/>
      <protection/>
    </xf>
    <xf numFmtId="3" fontId="0" fillId="34" borderId="16" xfId="59" applyFont="1" applyBorder="1" applyProtection="1">
      <alignment horizontal="right" vertical="center"/>
      <protection locked="0"/>
    </xf>
    <xf numFmtId="3" fontId="0" fillId="34" borderId="10" xfId="59" applyFont="1" applyBorder="1" applyProtection="1">
      <alignment horizontal="right" vertical="center"/>
      <protection locked="0"/>
    </xf>
    <xf numFmtId="0" fontId="0" fillId="35" borderId="23" xfId="60" applyFont="1" applyBorder="1" applyAlignment="1">
      <alignment/>
      <protection/>
    </xf>
    <xf numFmtId="0" fontId="0" fillId="35" borderId="21" xfId="60" applyFont="1" applyBorder="1" applyAlignment="1">
      <alignment/>
      <protection/>
    </xf>
    <xf numFmtId="0" fontId="0" fillId="35" borderId="22" xfId="60" applyFont="1" applyBorder="1" applyAlignment="1">
      <alignment/>
      <protection/>
    </xf>
    <xf numFmtId="0" fontId="26" fillId="31" borderId="11" xfId="56" applyFont="1" applyBorder="1">
      <alignment/>
      <protection/>
    </xf>
    <xf numFmtId="3" fontId="0" fillId="34" borderId="18" xfId="59" applyFont="1" applyBorder="1" applyProtection="1">
      <alignment horizontal="right" vertical="center"/>
      <protection locked="0"/>
    </xf>
    <xf numFmtId="0" fontId="0" fillId="0" borderId="0" xfId="0" applyAlignment="1">
      <alignment horizontal="right"/>
    </xf>
    <xf numFmtId="182" fontId="0" fillId="0" borderId="0" xfId="67" applyNumberFormat="1" applyFont="1" applyFill="1" applyBorder="1" applyAlignment="1">
      <alignment/>
    </xf>
    <xf numFmtId="182" fontId="0" fillId="0" borderId="0" xfId="67" applyNumberFormat="1" applyFont="1" applyFill="1" applyBorder="1" applyAlignment="1">
      <alignment/>
    </xf>
    <xf numFmtId="182" fontId="0" fillId="0" borderId="0" xfId="0" applyNumberFormat="1" applyAlignment="1">
      <alignment/>
    </xf>
    <xf numFmtId="4" fontId="0" fillId="0" borderId="0" xfId="0" applyNumberFormat="1" applyAlignment="1">
      <alignment/>
    </xf>
    <xf numFmtId="3" fontId="0" fillId="34" borderId="15" xfId="59" applyFont="1" applyBorder="1" applyProtection="1">
      <alignment horizontal="right" vertical="center"/>
      <protection locked="0"/>
    </xf>
    <xf numFmtId="0" fontId="0" fillId="0" borderId="0" xfId="0" applyFont="1" applyAlignment="1">
      <alignment horizontal="left"/>
    </xf>
    <xf numFmtId="3" fontId="0" fillId="34" borderId="18" xfId="59" applyFont="1" applyBorder="1" applyProtection="1">
      <alignment horizontal="right" vertical="center"/>
      <protection locked="0"/>
    </xf>
    <xf numFmtId="0" fontId="0" fillId="35" borderId="0" xfId="60" applyFont="1" applyBorder="1" applyAlignment="1">
      <alignment horizontal="left"/>
      <protection/>
    </xf>
    <xf numFmtId="0" fontId="0" fillId="35" borderId="24" xfId="60" applyFont="1" applyBorder="1" applyAlignment="1">
      <alignment horizontal="left"/>
      <protection/>
    </xf>
    <xf numFmtId="0" fontId="0" fillId="35" borderId="19" xfId="60" applyFont="1" applyBorder="1" applyAlignment="1">
      <alignment horizontal="left"/>
      <protection/>
    </xf>
    <xf numFmtId="0" fontId="0" fillId="35" borderId="18" xfId="60" applyFont="1" applyBorder="1" applyAlignment="1" quotePrefix="1">
      <alignment/>
      <protection/>
    </xf>
    <xf numFmtId="0" fontId="0" fillId="35" borderId="18" xfId="60" applyFont="1" applyBorder="1" applyAlignment="1">
      <alignment/>
      <protection/>
    </xf>
    <xf numFmtId="0" fontId="42" fillId="40" borderId="11" xfId="0" applyFont="1" applyFill="1" applyBorder="1" applyAlignment="1">
      <alignment horizontal="center" vertical="center" textRotation="90" wrapText="1"/>
    </xf>
    <xf numFmtId="3" fontId="0" fillId="32" borderId="16" xfId="57" applyFont="1" applyBorder="1">
      <alignment horizontal="right" vertical="center"/>
    </xf>
    <xf numFmtId="0" fontId="58" fillId="35" borderId="12" xfId="60" applyFont="1" applyBorder="1" applyAlignment="1" quotePrefix="1">
      <alignment horizontal="center"/>
      <protection/>
    </xf>
    <xf numFmtId="0" fontId="0" fillId="35" borderId="15" xfId="60" applyFont="1" applyBorder="1" applyAlignment="1" quotePrefix="1">
      <alignment horizontal="left"/>
      <protection/>
    </xf>
    <xf numFmtId="0" fontId="0" fillId="35" borderId="18" xfId="60" applyFont="1" applyBorder="1" applyAlignment="1" quotePrefix="1">
      <alignment horizontal="left" indent="2"/>
      <protection/>
    </xf>
    <xf numFmtId="0" fontId="0" fillId="35" borderId="18" xfId="60" applyFont="1" applyBorder="1" applyAlignment="1" quotePrefix="1">
      <alignment horizontal="left"/>
      <protection/>
    </xf>
    <xf numFmtId="0" fontId="0" fillId="35" borderId="14" xfId="60" applyFont="1" applyBorder="1" applyAlignment="1" quotePrefix="1">
      <alignment horizontal="left"/>
      <protection/>
    </xf>
    <xf numFmtId="3" fontId="0" fillId="34" borderId="15" xfId="59" applyFont="1" applyBorder="1" applyProtection="1">
      <alignment horizontal="right" vertical="center"/>
      <protection locked="0"/>
    </xf>
    <xf numFmtId="3" fontId="0" fillId="34" borderId="14" xfId="59" applyFont="1" applyBorder="1" applyProtection="1">
      <alignment horizontal="right" vertical="center"/>
      <protection locked="0"/>
    </xf>
    <xf numFmtId="3" fontId="0" fillId="34" borderId="17" xfId="59" applyFont="1" applyBorder="1" applyAlignment="1" applyProtection="1">
      <alignment horizontal="center" vertical="center"/>
      <protection locked="0"/>
    </xf>
    <xf numFmtId="0" fontId="0" fillId="35" borderId="16" xfId="60" applyFont="1" applyBorder="1" applyAlignment="1">
      <alignment/>
      <protection/>
    </xf>
    <xf numFmtId="0" fontId="0" fillId="35" borderId="19" xfId="60" applyFont="1" applyBorder="1" applyAlignment="1">
      <alignment/>
      <protection/>
    </xf>
    <xf numFmtId="0" fontId="0" fillId="35" borderId="22" xfId="60" applyFont="1" applyBorder="1" applyAlignment="1">
      <alignment/>
      <protection/>
    </xf>
    <xf numFmtId="0" fontId="0" fillId="35" borderId="11" xfId="60" applyFont="1" applyBorder="1" applyAlignment="1">
      <alignment/>
      <protection/>
    </xf>
    <xf numFmtId="0" fontId="0" fillId="35" borderId="11" xfId="60" applyFont="1" applyBorder="1" applyAlignment="1">
      <alignment wrapText="1"/>
      <protection/>
    </xf>
    <xf numFmtId="49" fontId="0" fillId="39" borderId="0" xfId="0" applyNumberFormat="1" applyFont="1" applyFill="1" applyAlignment="1" quotePrefix="1">
      <alignment horizontal="center"/>
    </xf>
    <xf numFmtId="1" fontId="0" fillId="0" borderId="0" xfId="0" applyNumberFormat="1" applyFont="1" applyAlignment="1">
      <alignment/>
    </xf>
    <xf numFmtId="9" fontId="0" fillId="32" borderId="14" xfId="57" applyNumberFormat="1" applyFont="1" applyBorder="1">
      <alignment horizontal="right" vertical="center"/>
    </xf>
    <xf numFmtId="9" fontId="0" fillId="32" borderId="15" xfId="57" applyNumberFormat="1" applyFont="1" applyBorder="1">
      <alignment horizontal="right" vertical="center"/>
    </xf>
    <xf numFmtId="9" fontId="0" fillId="32" borderId="18" xfId="57" applyNumberFormat="1" applyFont="1" applyBorder="1">
      <alignment horizontal="right" vertical="center"/>
    </xf>
    <xf numFmtId="3" fontId="0" fillId="34" borderId="24" xfId="59" applyFont="1" applyBorder="1" applyProtection="1">
      <alignment horizontal="right" vertical="center"/>
      <protection locked="0"/>
    </xf>
    <xf numFmtId="3" fontId="0" fillId="34" borderId="18" xfId="59" applyFont="1" applyBorder="1" applyProtection="1">
      <alignment horizontal="right" vertical="center"/>
      <protection locked="0"/>
    </xf>
    <xf numFmtId="9" fontId="0" fillId="32" borderId="16" xfId="57" applyNumberFormat="1" applyFont="1" applyBorder="1">
      <alignment horizontal="right" vertical="center"/>
    </xf>
    <xf numFmtId="9" fontId="0" fillId="32" borderId="19" xfId="57" applyNumberFormat="1" applyFont="1" applyBorder="1">
      <alignment horizontal="right" vertical="center"/>
    </xf>
    <xf numFmtId="9" fontId="0" fillId="32" borderId="22" xfId="57" applyNumberFormat="1" applyFont="1" applyBorder="1">
      <alignment horizontal="right" vertical="center"/>
    </xf>
    <xf numFmtId="0" fontId="42" fillId="40" borderId="20" xfId="0" applyFont="1" applyFill="1" applyBorder="1" applyAlignment="1">
      <alignment horizontal="center" vertical="center" wrapText="1"/>
    </xf>
    <xf numFmtId="0" fontId="66" fillId="20" borderId="17" xfId="0" applyFont="1" applyFill="1" applyBorder="1" applyAlignment="1">
      <alignment horizontal="left"/>
    </xf>
    <xf numFmtId="0" fontId="42" fillId="46" borderId="13" xfId="0" applyFont="1" applyFill="1" applyBorder="1" applyAlignment="1">
      <alignment horizontal="right"/>
    </xf>
    <xf numFmtId="0" fontId="42" fillId="20" borderId="13" xfId="0" applyFont="1" applyFill="1" applyBorder="1" applyAlignment="1">
      <alignment horizontal="right"/>
    </xf>
    <xf numFmtId="3" fontId="0" fillId="32" borderId="19" xfId="57" applyFont="1" applyBorder="1" applyProtection="1">
      <alignment horizontal="right" vertical="center"/>
      <protection locked="0"/>
    </xf>
    <xf numFmtId="3" fontId="0" fillId="32" borderId="11" xfId="57" applyNumberFormat="1" applyFont="1" applyBorder="1">
      <alignment horizontal="right" vertical="center"/>
    </xf>
    <xf numFmtId="0" fontId="39" fillId="17" borderId="18" xfId="0" applyFont="1" applyFill="1" applyBorder="1" applyAlignment="1" quotePrefix="1">
      <alignment/>
    </xf>
    <xf numFmtId="0" fontId="24" fillId="0" borderId="15" xfId="0" applyFont="1" applyBorder="1" applyAlignment="1" applyProtection="1" quotePrefix="1">
      <alignment horizontal="center"/>
      <protection/>
    </xf>
    <xf numFmtId="0" fontId="39" fillId="36" borderId="14" xfId="0" applyFont="1" applyFill="1" applyBorder="1" applyAlignment="1" quotePrefix="1">
      <alignment/>
    </xf>
    <xf numFmtId="0" fontId="39" fillId="43" borderId="15" xfId="0" applyFont="1" applyFill="1" applyBorder="1" applyAlignment="1" applyProtection="1">
      <alignment/>
      <protection/>
    </xf>
    <xf numFmtId="0" fontId="39" fillId="43" borderId="18" xfId="0" applyFont="1" applyFill="1" applyBorder="1" applyAlignment="1" applyProtection="1">
      <alignment/>
      <protection/>
    </xf>
    <xf numFmtId="0" fontId="42" fillId="44" borderId="18" xfId="0" applyFont="1" applyFill="1" applyBorder="1" applyAlignment="1" applyProtection="1">
      <alignment/>
      <protection/>
    </xf>
    <xf numFmtId="0" fontId="42" fillId="20" borderId="18" xfId="0" applyFont="1" applyFill="1" applyBorder="1" applyAlignment="1" applyProtection="1">
      <alignment/>
      <protection/>
    </xf>
    <xf numFmtId="0" fontId="42" fillId="22" borderId="18" xfId="0" applyFont="1" applyFill="1" applyBorder="1" applyAlignment="1" applyProtection="1">
      <alignment/>
      <protection/>
    </xf>
    <xf numFmtId="0" fontId="42" fillId="17" borderId="18" xfId="0" applyFont="1" applyFill="1" applyBorder="1" applyAlignment="1" applyProtection="1">
      <alignment/>
      <protection/>
    </xf>
    <xf numFmtId="0" fontId="42" fillId="36" borderId="14" xfId="0" applyFont="1" applyFill="1" applyBorder="1" applyAlignment="1" applyProtection="1">
      <alignment/>
      <protection/>
    </xf>
    <xf numFmtId="0" fontId="0" fillId="35" borderId="12" xfId="60" applyFont="1" applyBorder="1" applyAlignment="1" quotePrefix="1">
      <alignment horizontal="center"/>
      <protection/>
    </xf>
    <xf numFmtId="0" fontId="0" fillId="35" borderId="12" xfId="60" applyFont="1" applyBorder="1" applyAlignment="1">
      <alignment/>
      <protection/>
    </xf>
    <xf numFmtId="3" fontId="0" fillId="34" borderId="18" xfId="59" applyFont="1" applyBorder="1" applyProtection="1">
      <alignment horizontal="right" vertical="center"/>
      <protection locked="0"/>
    </xf>
    <xf numFmtId="0" fontId="49" fillId="43" borderId="15" xfId="53" applyFill="1" applyBorder="1" applyAlignment="1" quotePrefix="1">
      <alignment horizontal="center"/>
    </xf>
    <xf numFmtId="0" fontId="26" fillId="0" borderId="0" xfId="0" applyFont="1" applyFill="1" applyAlignment="1">
      <alignment horizontal="left" vertical="center"/>
    </xf>
    <xf numFmtId="0" fontId="49" fillId="0" borderId="0" xfId="53" applyAlignment="1">
      <alignment horizontal="left" vertical="center"/>
    </xf>
    <xf numFmtId="0" fontId="49" fillId="0" borderId="0" xfId="53" applyFill="1" applyBorder="1" applyAlignment="1" applyProtection="1" quotePrefix="1">
      <alignment horizontal="right" vertical="center" wrapText="1"/>
      <protection locked="0"/>
    </xf>
    <xf numFmtId="0" fontId="49" fillId="0" borderId="0" xfId="53" applyFill="1" applyBorder="1" applyAlignment="1" quotePrefix="1">
      <alignment horizontal="right" vertical="center" wrapText="1"/>
    </xf>
    <xf numFmtId="0" fontId="49" fillId="22" borderId="18" xfId="53" applyFill="1" applyBorder="1" applyAlignment="1" applyProtection="1" quotePrefix="1">
      <alignment horizontal="center"/>
      <protection/>
    </xf>
    <xf numFmtId="3" fontId="0" fillId="34" borderId="15" xfId="59" applyFont="1" applyBorder="1" applyAlignment="1">
      <alignment vertical="center"/>
      <protection locked="0"/>
    </xf>
    <xf numFmtId="3" fontId="0" fillId="34" borderId="14" xfId="59" applyFont="1" applyBorder="1" applyAlignment="1">
      <alignment horizontal="left" vertical="center"/>
      <protection locked="0"/>
    </xf>
    <xf numFmtId="0" fontId="49" fillId="17" borderId="18" xfId="53" applyFill="1" applyBorder="1" applyAlignment="1" quotePrefix="1">
      <alignment horizontal="center"/>
    </xf>
    <xf numFmtId="180" fontId="0" fillId="34" borderId="14" xfId="59" applyNumberFormat="1" applyFont="1" applyBorder="1">
      <alignment horizontal="right" vertical="center"/>
      <protection locked="0"/>
    </xf>
    <xf numFmtId="0" fontId="49" fillId="36" borderId="14" xfId="53" applyFill="1" applyBorder="1" applyAlignment="1">
      <alignment horizontal="center"/>
    </xf>
    <xf numFmtId="0" fontId="31" fillId="33" borderId="23" xfId="58" applyFont="1" applyBorder="1" applyAlignment="1">
      <alignment horizontal="right"/>
      <protection/>
    </xf>
    <xf numFmtId="3" fontId="0" fillId="34" borderId="12" xfId="59" applyFont="1" applyBorder="1" applyAlignment="1">
      <alignment horizontal="left" vertical="center"/>
      <protection locked="0"/>
    </xf>
    <xf numFmtId="0" fontId="26" fillId="35" borderId="11" xfId="60" applyFont="1" applyBorder="1" applyAlignment="1">
      <alignment/>
      <protection/>
    </xf>
    <xf numFmtId="0" fontId="42" fillId="35" borderId="13" xfId="60" applyFont="1" applyBorder="1" applyAlignment="1">
      <alignment horizontal="right"/>
      <protection/>
    </xf>
    <xf numFmtId="3" fontId="52" fillId="32" borderId="12" xfId="57" applyBorder="1">
      <alignment horizontal="right" vertical="center"/>
    </xf>
    <xf numFmtId="3" fontId="52" fillId="32" borderId="12" xfId="57" applyNumberFormat="1" applyBorder="1">
      <alignment horizontal="right" vertical="center"/>
    </xf>
    <xf numFmtId="3" fontId="0" fillId="34" borderId="12" xfId="59" applyFont="1" applyBorder="1" applyProtection="1">
      <alignment horizontal="right" vertical="center"/>
      <protection locked="0"/>
    </xf>
    <xf numFmtId="3" fontId="0" fillId="32" borderId="16" xfId="57" applyNumberFormat="1" applyFont="1" applyBorder="1" applyProtection="1">
      <alignment horizontal="right" vertical="center"/>
      <protection locked="0"/>
    </xf>
    <xf numFmtId="3" fontId="0" fillId="32" borderId="16" xfId="57" applyFont="1" applyBorder="1" applyProtection="1">
      <alignment horizontal="right" vertical="center"/>
      <protection locked="0"/>
    </xf>
    <xf numFmtId="0" fontId="0" fillId="20" borderId="15" xfId="0" applyFont="1" applyFill="1" applyBorder="1" applyAlignment="1">
      <alignment/>
    </xf>
    <xf numFmtId="0" fontId="0" fillId="35" borderId="11" xfId="60" applyFont="1" applyBorder="1" applyAlignment="1">
      <alignment/>
      <protection/>
    </xf>
    <xf numFmtId="0" fontId="0" fillId="35" borderId="19" xfId="60" applyFont="1" applyBorder="1" applyAlignment="1" quotePrefix="1">
      <alignment horizontal="left" indent="4"/>
      <protection/>
    </xf>
    <xf numFmtId="0" fontId="0" fillId="35" borderId="18" xfId="60" applyFont="1" applyBorder="1" applyAlignment="1">
      <alignment horizontal="left" indent="2"/>
      <protection/>
    </xf>
    <xf numFmtId="0" fontId="0" fillId="35" borderId="14" xfId="60" applyFont="1" applyBorder="1" applyAlignment="1">
      <alignment horizontal="left" indent="2"/>
      <protection/>
    </xf>
    <xf numFmtId="0" fontId="62" fillId="0" borderId="0" xfId="0" applyFont="1" applyBorder="1" applyAlignment="1" applyProtection="1">
      <alignment horizontal="center"/>
      <protection locked="0"/>
    </xf>
    <xf numFmtId="3" fontId="62" fillId="0" borderId="19" xfId="57" applyFont="1" applyFill="1" applyBorder="1" applyAlignment="1" applyProtection="1">
      <alignment horizontal="center" vertical="center"/>
      <protection locked="0"/>
    </xf>
    <xf numFmtId="0" fontId="0" fillId="0" borderId="12" xfId="0" applyFont="1" applyBorder="1" applyAlignment="1" applyProtection="1">
      <alignment/>
      <protection locked="0"/>
    </xf>
    <xf numFmtId="3" fontId="62" fillId="0" borderId="0" xfId="59" applyFont="1" applyFill="1" applyBorder="1" applyAlignment="1">
      <alignment horizontal="left" vertical="center"/>
      <protection locked="0"/>
    </xf>
    <xf numFmtId="3" fontId="0" fillId="34" borderId="18" xfId="59" applyFont="1" applyBorder="1" applyProtection="1">
      <alignment horizontal="right" vertical="center"/>
      <protection locked="0"/>
    </xf>
    <xf numFmtId="3" fontId="0" fillId="34" borderId="12" xfId="59" applyFont="1" applyBorder="1" applyProtection="1">
      <alignment horizontal="right" vertical="center"/>
      <protection locked="0"/>
    </xf>
    <xf numFmtId="3" fontId="62" fillId="0" borderId="0" xfId="57" applyFont="1" applyFill="1" applyBorder="1" applyAlignment="1">
      <alignment horizontal="left" vertical="center"/>
    </xf>
    <xf numFmtId="3" fontId="0" fillId="34" borderId="19" xfId="59" applyFont="1" applyBorder="1" applyProtection="1">
      <alignment horizontal="right" vertical="center"/>
      <protection locked="0"/>
    </xf>
    <xf numFmtId="3" fontId="0" fillId="34" borderId="15" xfId="59" applyFont="1" applyBorder="1" applyProtection="1">
      <alignment horizontal="right" vertical="center"/>
      <protection locked="0"/>
    </xf>
    <xf numFmtId="3" fontId="0" fillId="34" borderId="10" xfId="59" applyFont="1" applyBorder="1" applyProtection="1">
      <alignment horizontal="right" vertical="center"/>
      <protection locked="0"/>
    </xf>
    <xf numFmtId="3" fontId="0" fillId="34" borderId="0" xfId="59" applyFont="1" applyBorder="1" applyProtection="1">
      <alignment horizontal="right" vertical="center"/>
      <protection locked="0"/>
    </xf>
    <xf numFmtId="0" fontId="0" fillId="0" borderId="0" xfId="0" applyFont="1" applyAlignment="1">
      <alignment horizontal="left" vertical="center" wrapText="1"/>
    </xf>
    <xf numFmtId="3" fontId="62" fillId="0" borderId="15" xfId="57" applyFont="1" applyFill="1" applyBorder="1" applyAlignment="1" applyProtection="1">
      <alignment horizontal="center" vertical="center"/>
      <protection locked="0"/>
    </xf>
    <xf numFmtId="3" fontId="52" fillId="0" borderId="18" xfId="57" applyFill="1" applyBorder="1" applyProtection="1">
      <alignment horizontal="right" vertical="center"/>
      <protection locked="0"/>
    </xf>
    <xf numFmtId="3" fontId="52" fillId="0" borderId="14" xfId="57" applyFill="1" applyBorder="1" applyProtection="1">
      <alignment horizontal="right" vertical="center"/>
      <protection locked="0"/>
    </xf>
    <xf numFmtId="181" fontId="0" fillId="34" borderId="12" xfId="59" applyNumberFormat="1" applyFont="1" applyBorder="1" applyProtection="1">
      <alignment horizontal="right" vertical="center"/>
      <protection locked="0"/>
    </xf>
    <xf numFmtId="181" fontId="0" fillId="34" borderId="17" xfId="59" applyNumberFormat="1" applyFont="1" applyBorder="1" applyProtection="1">
      <alignment horizontal="right" vertical="center"/>
      <protection locked="0"/>
    </xf>
    <xf numFmtId="181" fontId="0" fillId="34" borderId="12" xfId="59" applyNumberFormat="1" applyFont="1" applyBorder="1" applyAlignment="1" applyProtection="1">
      <alignment horizontal="right" vertical="center"/>
      <protection locked="0"/>
    </xf>
    <xf numFmtId="3" fontId="0" fillId="34" borderId="12" xfId="59" applyNumberFormat="1" applyFont="1" applyBorder="1" applyProtection="1">
      <alignment horizontal="right" vertical="center"/>
      <protection locked="0"/>
    </xf>
    <xf numFmtId="3" fontId="0" fillId="34" borderId="12" xfId="59" applyNumberFormat="1" applyFont="1" applyBorder="1" applyProtection="1">
      <alignment horizontal="right" vertical="center"/>
      <protection locked="0"/>
    </xf>
    <xf numFmtId="10" fontId="0" fillId="34" borderId="12" xfId="59" applyNumberFormat="1" applyFont="1" applyBorder="1" applyProtection="1">
      <alignment horizontal="right" vertical="center"/>
      <protection locked="0"/>
    </xf>
    <xf numFmtId="9" fontId="0" fillId="34" borderId="24" xfId="59" applyNumberFormat="1" applyFont="1" applyBorder="1" applyProtection="1">
      <alignment horizontal="right" vertical="center"/>
      <protection locked="0"/>
    </xf>
    <xf numFmtId="49" fontId="0" fillId="34" borderId="12" xfId="59" applyNumberFormat="1" applyFont="1" applyBorder="1" applyAlignment="1">
      <alignment horizontal="left" vertical="center"/>
      <protection locked="0"/>
    </xf>
    <xf numFmtId="3" fontId="0" fillId="34" borderId="11" xfId="59" applyFont="1" applyBorder="1" applyAlignment="1" applyProtection="1">
      <alignment vertical="center"/>
      <protection locked="0"/>
    </xf>
    <xf numFmtId="3" fontId="0" fillId="34" borderId="13" xfId="59" applyFont="1" applyBorder="1" applyAlignment="1" applyProtection="1">
      <alignment vertical="center"/>
      <protection locked="0"/>
    </xf>
    <xf numFmtId="3" fontId="0" fillId="34" borderId="17" xfId="59" applyFont="1" applyBorder="1" applyAlignment="1" applyProtection="1">
      <alignment vertical="center"/>
      <protection locked="0"/>
    </xf>
    <xf numFmtId="0" fontId="58" fillId="0" borderId="0" xfId="0" applyFont="1" applyAlignment="1">
      <alignment horizontal="left" vertical="center"/>
    </xf>
    <xf numFmtId="0" fontId="0" fillId="0" borderId="0" xfId="0" applyFont="1" applyAlignment="1">
      <alignment horizontal="left" vertical="center" wrapText="1"/>
    </xf>
    <xf numFmtId="0" fontId="26" fillId="0" borderId="0" xfId="0" applyFont="1" applyAlignment="1">
      <alignment horizontal="left" vertical="center" wrapText="1"/>
    </xf>
    <xf numFmtId="0" fontId="26" fillId="35" borderId="11" xfId="60" applyFont="1" applyBorder="1" applyAlignment="1">
      <alignment horizontal="left" wrapText="1"/>
      <protection/>
    </xf>
    <xf numFmtId="0" fontId="26" fillId="35" borderId="13" xfId="60" applyFont="1" applyBorder="1" applyAlignment="1">
      <alignment horizontal="left" wrapText="1"/>
      <protection/>
    </xf>
    <xf numFmtId="0" fontId="26" fillId="35" borderId="17" xfId="60" applyFont="1" applyBorder="1" applyAlignment="1">
      <alignment horizontal="left" wrapText="1"/>
      <protection/>
    </xf>
    <xf numFmtId="0" fontId="0" fillId="0" borderId="0" xfId="0" applyFont="1" applyAlignment="1">
      <alignment horizontal="left"/>
    </xf>
    <xf numFmtId="3" fontId="0" fillId="34" borderId="11" xfId="59" applyFont="1" applyBorder="1" applyAlignment="1">
      <alignment horizontal="center" vertical="center"/>
      <protection locked="0"/>
    </xf>
    <xf numFmtId="3" fontId="0" fillId="34" borderId="17" xfId="59" applyFont="1" applyBorder="1" applyAlignment="1">
      <alignment horizontal="center" vertical="center"/>
      <protection locked="0"/>
    </xf>
    <xf numFmtId="3" fontId="0" fillId="32" borderId="11" xfId="57" applyFont="1" applyBorder="1" applyAlignment="1">
      <alignment horizontal="center" vertical="center"/>
    </xf>
    <xf numFmtId="3" fontId="0" fillId="32" borderId="17" xfId="57" applyFont="1" applyBorder="1" applyAlignment="1">
      <alignment horizontal="center" vertical="center"/>
    </xf>
    <xf numFmtId="0" fontId="66" fillId="20" borderId="11" xfId="0" applyFont="1" applyFill="1" applyBorder="1" applyAlignment="1">
      <alignment horizontal="left" wrapText="1"/>
    </xf>
    <xf numFmtId="0" fontId="66" fillId="20" borderId="13" xfId="0" applyFont="1" applyFill="1" applyBorder="1" applyAlignment="1">
      <alignment horizontal="left" wrapText="1"/>
    </xf>
    <xf numFmtId="0" fontId="66" fillId="20" borderId="17" xfId="0" applyFont="1" applyFill="1" applyBorder="1" applyAlignment="1">
      <alignment horizontal="left" wrapText="1"/>
    </xf>
    <xf numFmtId="0" fontId="42" fillId="40" borderId="11" xfId="0" applyFont="1" applyFill="1" applyBorder="1" applyAlignment="1">
      <alignment horizontal="left" vertical="center" wrapText="1"/>
    </xf>
    <xf numFmtId="0" fontId="42" fillId="40" borderId="13" xfId="0" applyFont="1" applyFill="1" applyBorder="1" applyAlignment="1">
      <alignment horizontal="left" vertical="center" wrapText="1"/>
    </xf>
    <xf numFmtId="0" fontId="42" fillId="40" borderId="17" xfId="0" applyFont="1" applyFill="1" applyBorder="1" applyAlignment="1">
      <alignment horizontal="left" vertical="center" wrapText="1"/>
    </xf>
    <xf numFmtId="0" fontId="0" fillId="35" borderId="11" xfId="60" applyFont="1" applyBorder="1" applyAlignment="1">
      <alignment horizontal="left" wrapText="1" indent="1"/>
      <protection/>
    </xf>
    <xf numFmtId="0" fontId="0" fillId="35" borderId="13" xfId="60" applyFont="1" applyBorder="1" applyAlignment="1">
      <alignment horizontal="left" wrapText="1" indent="1"/>
      <protection/>
    </xf>
    <xf numFmtId="0" fontId="0" fillId="35" borderId="17" xfId="60" applyFont="1" applyBorder="1" applyAlignment="1">
      <alignment horizontal="left" wrapText="1" indent="1"/>
      <protection/>
    </xf>
    <xf numFmtId="0" fontId="42" fillId="40" borderId="16" xfId="0" applyFont="1" applyFill="1" applyBorder="1" applyAlignment="1">
      <alignment horizontal="left" vertical="center" wrapText="1"/>
    </xf>
    <xf numFmtId="0" fontId="42" fillId="40" borderId="10" xfId="0" applyFont="1" applyFill="1" applyBorder="1" applyAlignment="1">
      <alignment horizontal="left" vertical="center" wrapText="1"/>
    </xf>
    <xf numFmtId="0" fontId="42" fillId="40" borderId="20" xfId="0" applyFont="1" applyFill="1" applyBorder="1" applyAlignment="1">
      <alignment horizontal="left" vertical="center" wrapText="1"/>
    </xf>
    <xf numFmtId="0" fontId="66" fillId="20" borderId="11" xfId="0" applyFont="1" applyFill="1" applyBorder="1" applyAlignment="1">
      <alignment horizontal="left"/>
    </xf>
    <xf numFmtId="0" fontId="66" fillId="20" borderId="13" xfId="0" applyFont="1" applyFill="1" applyBorder="1" applyAlignment="1">
      <alignment horizontal="left"/>
    </xf>
    <xf numFmtId="0" fontId="0" fillId="35" borderId="16" xfId="60" applyFont="1" applyBorder="1" applyAlignment="1">
      <alignment horizontal="left"/>
      <protection/>
    </xf>
    <xf numFmtId="0" fontId="0" fillId="35" borderId="10" xfId="60" applyFont="1" applyBorder="1" applyAlignment="1">
      <alignment horizontal="left"/>
      <protection/>
    </xf>
    <xf numFmtId="0" fontId="0" fillId="35" borderId="20" xfId="60" applyFont="1" applyBorder="1" applyAlignment="1">
      <alignment horizontal="left"/>
      <protection/>
    </xf>
    <xf numFmtId="0" fontId="61" fillId="35" borderId="19" xfId="60" applyFont="1" applyBorder="1" applyAlignment="1">
      <alignment horizontal="left" indent="1"/>
      <protection/>
    </xf>
    <xf numFmtId="0" fontId="61" fillId="35" borderId="0" xfId="60" applyFont="1" applyBorder="1" applyAlignment="1">
      <alignment horizontal="left" indent="1"/>
      <protection/>
    </xf>
    <xf numFmtId="0" fontId="61" fillId="35" borderId="24" xfId="60" applyFont="1" applyBorder="1" applyAlignment="1">
      <alignment horizontal="left" indent="1"/>
      <protection/>
    </xf>
    <xf numFmtId="0" fontId="61" fillId="35" borderId="22" xfId="60" applyFont="1" applyBorder="1" applyAlignment="1">
      <alignment horizontal="left" indent="1"/>
      <protection/>
    </xf>
    <xf numFmtId="0" fontId="61" fillId="35" borderId="23" xfId="60" applyFont="1" applyBorder="1" applyAlignment="1">
      <alignment horizontal="left" indent="1"/>
      <protection/>
    </xf>
    <xf numFmtId="0" fontId="61" fillId="35" borderId="21" xfId="60" applyFont="1" applyBorder="1" applyAlignment="1">
      <alignment horizontal="left" indent="1"/>
      <protection/>
    </xf>
    <xf numFmtId="0" fontId="0" fillId="35" borderId="22" xfId="60" applyFont="1" applyBorder="1" applyAlignment="1">
      <alignment horizontal="left"/>
      <protection/>
    </xf>
    <xf numFmtId="0" fontId="0" fillId="35" borderId="23" xfId="60" applyFont="1" applyBorder="1" applyAlignment="1">
      <alignment horizontal="left"/>
      <protection/>
    </xf>
    <xf numFmtId="0" fontId="0" fillId="35" borderId="21" xfId="60" applyFont="1" applyBorder="1" applyAlignment="1">
      <alignment horizontal="left"/>
      <protection/>
    </xf>
    <xf numFmtId="0" fontId="0" fillId="35" borderId="19" xfId="60" applyFont="1" applyBorder="1" applyAlignment="1">
      <alignment horizontal="left"/>
      <protection/>
    </xf>
    <xf numFmtId="0" fontId="0" fillId="35" borderId="0" xfId="60" applyFont="1" applyBorder="1" applyAlignment="1">
      <alignment horizontal="left"/>
      <protection/>
    </xf>
    <xf numFmtId="0" fontId="0" fillId="35" borderId="24" xfId="60" applyFont="1" applyBorder="1" applyAlignment="1">
      <alignment horizontal="left"/>
      <protection/>
    </xf>
    <xf numFmtId="0" fontId="0" fillId="35" borderId="11" xfId="60" applyFont="1" applyBorder="1" applyAlignment="1">
      <alignment horizontal="left"/>
      <protection/>
    </xf>
    <xf numFmtId="0" fontId="0" fillId="35" borderId="13" xfId="60" applyFont="1" applyBorder="1" applyAlignment="1">
      <alignment horizontal="left"/>
      <protection/>
    </xf>
    <xf numFmtId="0" fontId="0" fillId="35" borderId="17" xfId="60" applyFont="1" applyBorder="1" applyAlignment="1">
      <alignment horizontal="left"/>
      <protection/>
    </xf>
    <xf numFmtId="0" fontId="0" fillId="35" borderId="11" xfId="60" applyFont="1" applyBorder="1" applyAlignment="1">
      <alignment wrapText="1"/>
      <protection/>
    </xf>
    <xf numFmtId="0" fontId="0" fillId="35" borderId="13" xfId="60" applyFont="1" applyBorder="1" applyAlignment="1">
      <alignment wrapText="1"/>
      <protection/>
    </xf>
    <xf numFmtId="0" fontId="0" fillId="35" borderId="17" xfId="60" applyFont="1" applyBorder="1" applyAlignment="1">
      <alignmen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IORP_Empty" xfId="56"/>
    <cellStyle name="IORP_Formula" xfId="57"/>
    <cellStyle name="IORP_Header" xfId="58"/>
    <cellStyle name="IORP_Input" xfId="59"/>
    <cellStyle name="IORP_Label" xfId="60"/>
    <cellStyle name="IORP_Result" xfId="61"/>
    <cellStyle name="Linked Cell" xfId="62"/>
    <cellStyle name="Neutral" xfId="63"/>
    <cellStyle name="Normal 2" xfId="64"/>
    <cellStyle name="Note" xfId="65"/>
    <cellStyle name="Output" xfId="66"/>
    <cellStyle name="Percent" xfId="67"/>
    <cellStyle name="QISP_NotInSet" xfId="68"/>
    <cellStyle name="Title" xfId="69"/>
    <cellStyle name="Total" xfId="70"/>
    <cellStyle name="Warning Text"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56</xdr:row>
      <xdr:rowOff>9525</xdr:rowOff>
    </xdr:from>
    <xdr:to>
      <xdr:col>2</xdr:col>
      <xdr:colOff>2514600</xdr:colOff>
      <xdr:row>59</xdr:row>
      <xdr:rowOff>0</xdr:rowOff>
    </xdr:to>
    <xdr:pic>
      <xdr:nvPicPr>
        <xdr:cNvPr id="1" name="Imagem 14"/>
        <xdr:cNvPicPr preferRelativeResize="1">
          <a:picLocks noChangeAspect="1"/>
        </xdr:cNvPicPr>
      </xdr:nvPicPr>
      <xdr:blipFill>
        <a:blip r:embed="rId1"/>
        <a:stretch>
          <a:fillRect/>
        </a:stretch>
      </xdr:blipFill>
      <xdr:spPr>
        <a:xfrm>
          <a:off x="2895600" y="10677525"/>
          <a:ext cx="2428875" cy="561975"/>
        </a:xfrm>
        <a:prstGeom prst="rect">
          <a:avLst/>
        </a:prstGeom>
        <a:noFill/>
        <a:ln w="9525" cmpd="sng">
          <a:noFill/>
        </a:ln>
      </xdr:spPr>
    </xdr:pic>
    <xdr:clientData/>
  </xdr:twoCellAnchor>
  <xdr:twoCellAnchor editAs="oneCell">
    <xdr:from>
      <xdr:col>2</xdr:col>
      <xdr:colOff>9525</xdr:colOff>
      <xdr:row>50</xdr:row>
      <xdr:rowOff>104775</xdr:rowOff>
    </xdr:from>
    <xdr:to>
      <xdr:col>2</xdr:col>
      <xdr:colOff>3314700</xdr:colOff>
      <xdr:row>55</xdr:row>
      <xdr:rowOff>76200</xdr:rowOff>
    </xdr:to>
    <xdr:pic>
      <xdr:nvPicPr>
        <xdr:cNvPr id="2" name="Picture 1"/>
        <xdr:cNvPicPr preferRelativeResize="1">
          <a:picLocks noChangeAspect="1"/>
        </xdr:cNvPicPr>
      </xdr:nvPicPr>
      <xdr:blipFill>
        <a:blip r:embed="rId2"/>
        <a:stretch>
          <a:fillRect/>
        </a:stretch>
      </xdr:blipFill>
      <xdr:spPr>
        <a:xfrm>
          <a:off x="2819400" y="9629775"/>
          <a:ext cx="3305175" cy="923925"/>
        </a:xfrm>
        <a:prstGeom prst="rect">
          <a:avLst/>
        </a:prstGeom>
        <a:noFill/>
        <a:ln w="9525" cmpd="sng">
          <a:noFill/>
        </a:ln>
      </xdr:spPr>
    </xdr:pic>
    <xdr:clientData/>
  </xdr:twoCellAnchor>
  <xdr:twoCellAnchor editAs="oneCell">
    <xdr:from>
      <xdr:col>0</xdr:col>
      <xdr:colOff>752475</xdr:colOff>
      <xdr:row>28</xdr:row>
      <xdr:rowOff>85725</xdr:rowOff>
    </xdr:from>
    <xdr:to>
      <xdr:col>3</xdr:col>
      <xdr:colOff>447675</xdr:colOff>
      <xdr:row>34</xdr:row>
      <xdr:rowOff>114300</xdr:rowOff>
    </xdr:to>
    <xdr:pic>
      <xdr:nvPicPr>
        <xdr:cNvPr id="3" name="Picture 2"/>
        <xdr:cNvPicPr preferRelativeResize="1">
          <a:picLocks noChangeAspect="1"/>
        </xdr:cNvPicPr>
      </xdr:nvPicPr>
      <xdr:blipFill>
        <a:blip r:embed="rId3"/>
        <a:stretch>
          <a:fillRect/>
        </a:stretch>
      </xdr:blipFill>
      <xdr:spPr>
        <a:xfrm>
          <a:off x="752475" y="5419725"/>
          <a:ext cx="7219950" cy="1171575"/>
        </a:xfrm>
        <a:prstGeom prst="rect">
          <a:avLst/>
        </a:prstGeom>
        <a:noFill/>
        <a:ln w="9525" cmpd="sng">
          <a:noFill/>
        </a:ln>
      </xdr:spPr>
    </xdr:pic>
    <xdr:clientData/>
  </xdr:twoCellAnchor>
  <xdr:twoCellAnchor editAs="oneCell">
    <xdr:from>
      <xdr:col>1</xdr:col>
      <xdr:colOff>0</xdr:colOff>
      <xdr:row>39</xdr:row>
      <xdr:rowOff>19050</xdr:rowOff>
    </xdr:from>
    <xdr:to>
      <xdr:col>2</xdr:col>
      <xdr:colOff>2581275</xdr:colOff>
      <xdr:row>44</xdr:row>
      <xdr:rowOff>9525</xdr:rowOff>
    </xdr:to>
    <xdr:pic>
      <xdr:nvPicPr>
        <xdr:cNvPr id="4" name="Picture 3"/>
        <xdr:cNvPicPr preferRelativeResize="1">
          <a:picLocks noChangeAspect="1"/>
        </xdr:cNvPicPr>
      </xdr:nvPicPr>
      <xdr:blipFill>
        <a:blip r:embed="rId4"/>
        <a:stretch>
          <a:fillRect/>
        </a:stretch>
      </xdr:blipFill>
      <xdr:spPr>
        <a:xfrm>
          <a:off x="762000" y="7448550"/>
          <a:ext cx="46291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E12"/>
  <sheetViews>
    <sheetView tabSelected="1" zoomScalePageLayoutView="0" workbookViewId="0" topLeftCell="A1">
      <selection activeCell="B5" sqref="B5"/>
    </sheetView>
  </sheetViews>
  <sheetFormatPr defaultColWidth="8.8515625" defaultRowHeight="15"/>
  <cols>
    <col min="1" max="1" width="9.140625" style="51" customWidth="1"/>
    <col min="2" max="2" width="71.421875" style="51" customWidth="1"/>
    <col min="3" max="3" width="30.00390625" style="51" customWidth="1"/>
    <col min="4" max="4" width="21.421875" style="51" customWidth="1"/>
    <col min="5" max="5" width="3.7109375" style="51" customWidth="1"/>
    <col min="6" max="16384" width="8.8515625" style="51" customWidth="1"/>
  </cols>
  <sheetData>
    <row r="1" spans="1:5" ht="15">
      <c r="A1" s="68" t="str">
        <f>Participant!$C$1</f>
        <v>-</v>
      </c>
      <c r="B1" s="41"/>
      <c r="C1" s="1"/>
      <c r="D1" s="39" t="s">
        <v>564</v>
      </c>
      <c r="E1" s="42" t="s">
        <v>0</v>
      </c>
    </row>
    <row r="2" spans="1:5" ht="18.75">
      <c r="A2" s="43" t="str">
        <f>Participant!$C$2</f>
        <v>-</v>
      </c>
      <c r="B2" s="400" t="s">
        <v>523</v>
      </c>
      <c r="C2" s="163"/>
      <c r="D2" s="40" t="str">
        <f>Participant!$E$2</f>
        <v>2016 - - (-)</v>
      </c>
      <c r="E2" s="42" t="s">
        <v>0</v>
      </c>
    </row>
    <row r="3" spans="2:5" ht="15">
      <c r="B3" s="33"/>
      <c r="C3" s="33"/>
      <c r="D3" s="44"/>
      <c r="E3" s="42" t="s">
        <v>0</v>
      </c>
    </row>
    <row r="4" spans="2:5" ht="15">
      <c r="B4" s="45" t="s">
        <v>1</v>
      </c>
      <c r="C4" s="46" t="s">
        <v>2</v>
      </c>
      <c r="D4" s="377" t="s">
        <v>3</v>
      </c>
      <c r="E4" s="42" t="s">
        <v>0</v>
      </c>
    </row>
    <row r="5" spans="2:5" ht="15">
      <c r="B5" s="379" t="s">
        <v>4</v>
      </c>
      <c r="C5" s="48" t="s">
        <v>5</v>
      </c>
      <c r="D5" s="389" t="str">
        <f>HYPERLINK("#'"&amp;C5&amp;"'!$D$5",D$4)</f>
        <v>GoTo</v>
      </c>
      <c r="E5" s="42" t="s">
        <v>0</v>
      </c>
    </row>
    <row r="6" spans="2:5" ht="15">
      <c r="B6" s="380" t="s">
        <v>269</v>
      </c>
      <c r="C6" s="49" t="s">
        <v>6</v>
      </c>
      <c r="D6" s="53" t="str">
        <f>HYPERLINK("#'"&amp;C6&amp;"'!$A$1",D$4)</f>
        <v>GoTo</v>
      </c>
      <c r="E6" s="42" t="s">
        <v>0</v>
      </c>
    </row>
    <row r="7" spans="2:5" ht="15">
      <c r="B7" s="381" t="s">
        <v>8</v>
      </c>
      <c r="C7" s="50" t="s">
        <v>7</v>
      </c>
      <c r="D7" s="54" t="str">
        <f>HYPERLINK("#'"&amp;C7&amp;"'!$E$4",D$4)</f>
        <v>GoTo</v>
      </c>
      <c r="E7" s="42" t="s">
        <v>0</v>
      </c>
    </row>
    <row r="8" spans="2:5" ht="15">
      <c r="B8" s="382" t="s">
        <v>392</v>
      </c>
      <c r="C8" s="47" t="s">
        <v>393</v>
      </c>
      <c r="D8" s="55" t="str">
        <f>HYPERLINK("#'"&amp;C8&amp;"'!$G$4",D$4)</f>
        <v>GoTo</v>
      </c>
      <c r="E8" s="42" t="s">
        <v>0</v>
      </c>
    </row>
    <row r="9" spans="2:5" ht="15">
      <c r="B9" s="383" t="s">
        <v>270</v>
      </c>
      <c r="C9" s="56" t="s">
        <v>271</v>
      </c>
      <c r="D9" s="394" t="str">
        <f>HYPERLINK("#'"&amp;C9&amp;"'!$I$4",D$4)</f>
        <v>GoTo</v>
      </c>
      <c r="E9" s="42" t="s">
        <v>0</v>
      </c>
    </row>
    <row r="10" spans="2:5" ht="15">
      <c r="B10" s="384" t="s">
        <v>394</v>
      </c>
      <c r="C10" s="376" t="s">
        <v>395</v>
      </c>
      <c r="D10" s="397" t="str">
        <f>HYPERLINK("#'"&amp;C10&amp;"'!$R$4",D$4)</f>
        <v>GoTo</v>
      </c>
      <c r="E10" s="42" t="s">
        <v>0</v>
      </c>
    </row>
    <row r="11" spans="2:5" ht="15">
      <c r="B11" s="385" t="s">
        <v>322</v>
      </c>
      <c r="C11" s="378" t="s">
        <v>396</v>
      </c>
      <c r="D11" s="399" t="str">
        <f>HYPERLINK("#'"&amp;C11&amp;"'!$k$4",D$4)</f>
        <v>GoTo</v>
      </c>
      <c r="E11" s="42" t="s">
        <v>0</v>
      </c>
    </row>
    <row r="12" spans="1:5" ht="15">
      <c r="A12" s="42" t="s">
        <v>0</v>
      </c>
      <c r="B12" s="42" t="s">
        <v>0</v>
      </c>
      <c r="C12" s="42" t="s">
        <v>0</v>
      </c>
      <c r="D12" s="42" t="s">
        <v>0</v>
      </c>
      <c r="E12" s="42" t="s">
        <v>0</v>
      </c>
    </row>
  </sheetData>
  <sheetProtection/>
  <printOptions/>
  <pageMargins left="0.7" right="0.7" top="0.75" bottom="0.75" header="0.3" footer="0.3"/>
  <pageSetup fitToHeight="0" fitToWidth="1" horizontalDpi="600" verticalDpi="600" orientation="landscape" paperSize="9"/>
  <headerFooter>
    <oddFooter>&amp;CP.Index&amp;R&amp;P / &amp;N</oddFooter>
  </headerFooter>
</worksheet>
</file>

<file path=xl/worksheets/sheet2.xml><?xml version="1.0" encoding="utf-8"?>
<worksheet xmlns="http://schemas.openxmlformats.org/spreadsheetml/2006/main" xmlns:r="http://schemas.openxmlformats.org/officeDocument/2006/relationships">
  <sheetPr>
    <tabColor theme="0" tint="-0.4999699890613556"/>
  </sheetPr>
  <dimension ref="A1:H100"/>
  <sheetViews>
    <sheetView zoomScalePageLayoutView="0" workbookViewId="0" topLeftCell="A1">
      <selection activeCell="A1" sqref="A1"/>
    </sheetView>
  </sheetViews>
  <sheetFormatPr defaultColWidth="11.421875" defaultRowHeight="15"/>
  <cols>
    <col min="1" max="1" width="11.421875" style="62" customWidth="1"/>
    <col min="2" max="2" width="30.7109375" style="62" customWidth="1"/>
    <col min="3" max="3" width="70.7109375" style="62" customWidth="1"/>
    <col min="4" max="6" width="11.421875" style="62" customWidth="1"/>
    <col min="7" max="7" width="2.7109375" style="62" customWidth="1"/>
    <col min="8" max="16384" width="11.421875" style="62" customWidth="1"/>
  </cols>
  <sheetData>
    <row r="1" spans="1:8" ht="15">
      <c r="A1" s="62" t="str">
        <f>Version</f>
        <v>EIOPA-17-283-IORP_ST17_DB_Template-(20170518)</v>
      </c>
      <c r="D1" s="391" t="str">
        <f>HYPERLINK("#'P.index'!d6","&gt;&gt; goto index")</f>
        <v>&gt;&gt; goto index</v>
      </c>
      <c r="F1" s="440" t="s">
        <v>241</v>
      </c>
      <c r="G1" s="440"/>
      <c r="H1" s="440"/>
    </row>
    <row r="3" ht="15">
      <c r="A3" s="63" t="s">
        <v>224</v>
      </c>
    </row>
    <row r="4" spans="2:8" ht="15" customHeight="1">
      <c r="B4" s="441" t="s">
        <v>411</v>
      </c>
      <c r="C4" s="441"/>
      <c r="F4" s="390" t="s">
        <v>524</v>
      </c>
      <c r="H4" s="62" t="s">
        <v>242</v>
      </c>
    </row>
    <row r="5" spans="2:3" ht="15">
      <c r="B5" s="441"/>
      <c r="C5" s="441"/>
    </row>
    <row r="6" spans="2:3" ht="15">
      <c r="B6" s="441"/>
      <c r="C6" s="441"/>
    </row>
    <row r="7" spans="2:3" ht="15">
      <c r="B7" s="441"/>
      <c r="C7" s="441"/>
    </row>
    <row r="8" spans="2:3" ht="15">
      <c r="B8" s="64"/>
      <c r="C8" s="64"/>
    </row>
    <row r="9" ht="15">
      <c r="A9" s="62" t="s">
        <v>225</v>
      </c>
    </row>
    <row r="10" ht="15">
      <c r="B10" s="62" t="s">
        <v>563</v>
      </c>
    </row>
    <row r="11" spans="2:3" ht="15">
      <c r="B11" s="65" t="s">
        <v>73</v>
      </c>
      <c r="C11" s="62" t="s">
        <v>226</v>
      </c>
    </row>
    <row r="12" spans="2:3" ht="15">
      <c r="B12" s="66" t="s">
        <v>74</v>
      </c>
      <c r="C12" s="62" t="s">
        <v>227</v>
      </c>
    </row>
    <row r="13" spans="2:3" ht="15">
      <c r="B13" s="67" t="s">
        <v>75</v>
      </c>
      <c r="C13" s="62" t="s">
        <v>228</v>
      </c>
    </row>
    <row r="15" ht="15">
      <c r="A15" s="63" t="s">
        <v>229</v>
      </c>
    </row>
    <row r="16" spans="2:3" ht="15" customHeight="1">
      <c r="B16" s="441" t="s">
        <v>272</v>
      </c>
      <c r="C16" s="441"/>
    </row>
    <row r="17" spans="2:3" ht="15">
      <c r="B17" s="441"/>
      <c r="C17" s="441"/>
    </row>
    <row r="18" spans="2:3" ht="15">
      <c r="B18" s="441"/>
      <c r="C18" s="441"/>
    </row>
    <row r="19" spans="2:3" ht="15">
      <c r="B19" s="441"/>
      <c r="C19" s="441"/>
    </row>
    <row r="20" spans="2:3" ht="15">
      <c r="B20" s="441"/>
      <c r="C20" s="441"/>
    </row>
    <row r="21" spans="2:3" ht="15">
      <c r="B21" s="57"/>
      <c r="C21" s="57"/>
    </row>
    <row r="22" spans="2:3" ht="15" customHeight="1">
      <c r="B22" s="441" t="s">
        <v>230</v>
      </c>
      <c r="C22" s="441"/>
    </row>
    <row r="23" spans="2:3" ht="15">
      <c r="B23" s="441"/>
      <c r="C23" s="441"/>
    </row>
    <row r="24" spans="2:3" ht="15">
      <c r="B24" s="441"/>
      <c r="C24" s="441"/>
    </row>
    <row r="25" spans="2:3" ht="15">
      <c r="B25" s="57"/>
      <c r="C25" s="57"/>
    </row>
    <row r="26" ht="15">
      <c r="A26" s="63" t="s">
        <v>231</v>
      </c>
    </row>
    <row r="27" spans="2:3" ht="15" customHeight="1">
      <c r="B27" s="441" t="s">
        <v>232</v>
      </c>
      <c r="C27" s="441"/>
    </row>
    <row r="28" spans="2:3" ht="15">
      <c r="B28" s="441"/>
      <c r="C28" s="441"/>
    </row>
    <row r="29" spans="2:3" ht="15">
      <c r="B29" s="425"/>
      <c r="C29" s="425"/>
    </row>
    <row r="30" spans="2:3" ht="15">
      <c r="B30" s="425"/>
      <c r="C30" s="425"/>
    </row>
    <row r="31" spans="2:3" ht="15">
      <c r="B31" s="425"/>
      <c r="C31" s="425"/>
    </row>
    <row r="32" spans="2:3" ht="15">
      <c r="B32" s="425"/>
      <c r="C32" s="425"/>
    </row>
    <row r="33" spans="2:3" ht="15">
      <c r="B33" s="425"/>
      <c r="C33" s="425"/>
    </row>
    <row r="34" spans="2:3" ht="15">
      <c r="B34" s="425"/>
      <c r="C34" s="425"/>
    </row>
    <row r="35" spans="2:3" ht="15">
      <c r="B35" s="425"/>
      <c r="C35" s="425"/>
    </row>
    <row r="36" spans="2:3" ht="15">
      <c r="B36" s="57"/>
      <c r="C36" s="57"/>
    </row>
    <row r="37" spans="2:3" ht="15" customHeight="1">
      <c r="B37" s="441" t="s">
        <v>273</v>
      </c>
      <c r="C37" s="441"/>
    </row>
    <row r="38" spans="2:3" ht="15">
      <c r="B38" s="441"/>
      <c r="C38" s="441"/>
    </row>
    <row r="39" spans="2:3" ht="15">
      <c r="B39" s="57"/>
      <c r="C39" s="57"/>
    </row>
    <row r="40" spans="2:3" ht="15">
      <c r="B40" s="320"/>
      <c r="C40" s="64"/>
    </row>
    <row r="41" spans="2:3" ht="15">
      <c r="B41" s="64"/>
      <c r="C41" s="64"/>
    </row>
    <row r="42" spans="2:3" ht="15">
      <c r="B42" s="64"/>
      <c r="C42" s="64"/>
    </row>
    <row r="43" spans="2:3" ht="15">
      <c r="B43" s="64"/>
      <c r="C43" s="64"/>
    </row>
    <row r="44" spans="2:3" ht="15">
      <c r="B44" s="64"/>
      <c r="C44" s="64"/>
    </row>
    <row r="45" spans="2:3" ht="15">
      <c r="B45" s="64"/>
      <c r="C45" s="64"/>
    </row>
    <row r="46" spans="2:3" ht="15">
      <c r="B46" s="64"/>
      <c r="C46" s="64"/>
    </row>
    <row r="47" ht="15">
      <c r="A47" s="62" t="s">
        <v>274</v>
      </c>
    </row>
    <row r="49" ht="15">
      <c r="A49" s="62" t="s">
        <v>233</v>
      </c>
    </row>
    <row r="50" ht="15">
      <c r="B50" s="62" t="s">
        <v>234</v>
      </c>
    </row>
    <row r="51" ht="15"/>
    <row r="52" ht="15">
      <c r="B52" s="441" t="s">
        <v>235</v>
      </c>
    </row>
    <row r="53" ht="15">
      <c r="B53" s="441"/>
    </row>
    <row r="54" ht="15">
      <c r="B54" s="441"/>
    </row>
    <row r="55" ht="15">
      <c r="B55" s="425"/>
    </row>
    <row r="56" ht="15"/>
    <row r="57" ht="15">
      <c r="B57" s="441" t="s">
        <v>236</v>
      </c>
    </row>
    <row r="58" ht="15">
      <c r="B58" s="441"/>
    </row>
    <row r="59" ht="15">
      <c r="B59" s="441"/>
    </row>
    <row r="60" ht="15">
      <c r="B60" s="64"/>
    </row>
    <row r="61" ht="15">
      <c r="A61" s="62" t="s">
        <v>237</v>
      </c>
    </row>
    <row r="62" spans="2:3" ht="15" customHeight="1">
      <c r="B62" s="441" t="s">
        <v>275</v>
      </c>
      <c r="C62" s="441"/>
    </row>
    <row r="63" spans="2:3" ht="15">
      <c r="B63" s="441"/>
      <c r="C63" s="441"/>
    </row>
    <row r="64" spans="2:3" ht="15">
      <c r="B64" s="441"/>
      <c r="C64" s="441"/>
    </row>
    <row r="65" spans="2:3" ht="15">
      <c r="B65" s="57"/>
      <c r="C65" s="57"/>
    </row>
    <row r="66" spans="2:3" ht="15" customHeight="1">
      <c r="B66" s="441" t="s">
        <v>276</v>
      </c>
      <c r="C66" s="441"/>
    </row>
    <row r="67" spans="2:3" ht="15">
      <c r="B67" s="441"/>
      <c r="C67" s="441"/>
    </row>
    <row r="68" spans="2:3" ht="15">
      <c r="B68" s="57"/>
      <c r="C68" s="57"/>
    </row>
    <row r="69" ht="15">
      <c r="A69" s="62" t="s">
        <v>398</v>
      </c>
    </row>
    <row r="70" ht="15">
      <c r="B70" s="62" t="s">
        <v>415</v>
      </c>
    </row>
    <row r="71" ht="15">
      <c r="A71" s="62" t="s">
        <v>277</v>
      </c>
    </row>
    <row r="72" ht="15">
      <c r="B72" s="62" t="s">
        <v>278</v>
      </c>
    </row>
    <row r="73" ht="15">
      <c r="A73" s="62" t="s">
        <v>279</v>
      </c>
    </row>
    <row r="74" ht="15">
      <c r="B74" s="62" t="s">
        <v>453</v>
      </c>
    </row>
    <row r="75" ht="15">
      <c r="A75" s="62" t="s">
        <v>280</v>
      </c>
    </row>
    <row r="76" ht="15">
      <c r="B76" s="62" t="s">
        <v>289</v>
      </c>
    </row>
    <row r="77" ht="15">
      <c r="A77" s="62" t="s">
        <v>281</v>
      </c>
    </row>
    <row r="78" ht="15">
      <c r="B78" s="62" t="s">
        <v>284</v>
      </c>
    </row>
    <row r="79" ht="15">
      <c r="A79" s="62" t="s">
        <v>282</v>
      </c>
    </row>
    <row r="80" ht="15">
      <c r="B80" s="62" t="s">
        <v>308</v>
      </c>
    </row>
    <row r="81" ht="15">
      <c r="A81" s="62" t="s">
        <v>456</v>
      </c>
    </row>
    <row r="82" ht="15">
      <c r="B82" s="62" t="s">
        <v>283</v>
      </c>
    </row>
    <row r="84" ht="15">
      <c r="A84" s="62" t="s">
        <v>238</v>
      </c>
    </row>
    <row r="85" spans="2:3" ht="15" customHeight="1">
      <c r="B85" s="441" t="s">
        <v>416</v>
      </c>
      <c r="C85" s="441"/>
    </row>
    <row r="86" spans="2:3" ht="15">
      <c r="B86" s="441"/>
      <c r="C86" s="441"/>
    </row>
    <row r="87" spans="2:3" ht="15">
      <c r="B87" s="57"/>
      <c r="C87" s="57"/>
    </row>
    <row r="88" ht="15">
      <c r="A88" s="62" t="s">
        <v>412</v>
      </c>
    </row>
    <row r="89" spans="2:3" ht="15" customHeight="1">
      <c r="B89" s="441" t="s">
        <v>414</v>
      </c>
      <c r="C89" s="441"/>
    </row>
    <row r="90" spans="2:3" ht="15">
      <c r="B90" s="441"/>
      <c r="C90" s="441"/>
    </row>
    <row r="91" spans="2:3" ht="15">
      <c r="B91" s="57"/>
      <c r="C91" s="57"/>
    </row>
    <row r="92" spans="1:3" ht="15">
      <c r="A92" s="321" t="s">
        <v>413</v>
      </c>
      <c r="B92" s="322"/>
      <c r="C92" s="322"/>
    </row>
    <row r="93" spans="1:3" ht="15" customHeight="1">
      <c r="A93" s="321"/>
      <c r="B93" s="442" t="s">
        <v>562</v>
      </c>
      <c r="C93" s="442"/>
    </row>
    <row r="94" spans="2:3" ht="15" customHeight="1">
      <c r="B94" s="442"/>
      <c r="C94" s="442"/>
    </row>
    <row r="95" spans="2:3" ht="15" customHeight="1">
      <c r="B95" s="243"/>
      <c r="C95" s="243"/>
    </row>
    <row r="96" ht="15">
      <c r="A96" s="62" t="s">
        <v>239</v>
      </c>
    </row>
    <row r="97" spans="2:3" ht="15" customHeight="1">
      <c r="B97" s="441" t="s">
        <v>240</v>
      </c>
      <c r="C97" s="441"/>
    </row>
    <row r="98" spans="2:3" ht="15">
      <c r="B98" s="441"/>
      <c r="C98" s="441"/>
    </row>
    <row r="99" spans="2:3" ht="15">
      <c r="B99" s="441"/>
      <c r="C99" s="441"/>
    </row>
    <row r="100" spans="2:3" ht="15">
      <c r="B100" s="57"/>
      <c r="C100" s="57"/>
    </row>
  </sheetData>
  <sheetProtection/>
  <mergeCells count="14">
    <mergeCell ref="B85:C86"/>
    <mergeCell ref="B97:C99"/>
    <mergeCell ref="B52:B54"/>
    <mergeCell ref="B57:B59"/>
    <mergeCell ref="B89:C90"/>
    <mergeCell ref="B93:C94"/>
    <mergeCell ref="B62:C64"/>
    <mergeCell ref="B66:C67"/>
    <mergeCell ref="F1:H1"/>
    <mergeCell ref="B16:C20"/>
    <mergeCell ref="B22:C24"/>
    <mergeCell ref="B27:C28"/>
    <mergeCell ref="B37:C38"/>
    <mergeCell ref="B4:C7"/>
  </mergeCells>
  <printOptions/>
  <pageMargins left="0.7" right="0.7" top="0.787401575" bottom="0.7874015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K62"/>
  <sheetViews>
    <sheetView zoomScalePageLayoutView="0" workbookViewId="0" topLeftCell="A1">
      <selection activeCell="E1" sqref="E1"/>
    </sheetView>
  </sheetViews>
  <sheetFormatPr defaultColWidth="11.421875" defaultRowHeight="15"/>
  <cols>
    <col min="1" max="2" width="12.421875" style="38" customWidth="1"/>
    <col min="3" max="3" width="62.7109375" style="38" customWidth="1"/>
    <col min="4" max="4" width="50.7109375" style="38" customWidth="1"/>
    <col min="5" max="5" width="20.7109375" style="38" customWidth="1"/>
    <col min="6" max="6" width="3.7109375" style="38" customWidth="1"/>
    <col min="7" max="10" width="11.421875" style="38" hidden="1" customWidth="1"/>
    <col min="11" max="11" width="3.7109375" style="38" hidden="1" customWidth="1"/>
    <col min="12" max="16384" width="11.421875" style="38" customWidth="1"/>
  </cols>
  <sheetData>
    <row r="1" spans="3:11" ht="15">
      <c r="C1" s="68" t="str">
        <f>$D$7</f>
        <v>-</v>
      </c>
      <c r="D1" s="69"/>
      <c r="E1" s="39" t="str">
        <f>Version</f>
        <v>EIOPA-17-283-IORP_ST17_DB_Template-(20170518)</v>
      </c>
      <c r="F1" s="71" t="s">
        <v>0</v>
      </c>
      <c r="G1" s="149">
        <f>MATCH(D13,G2:G9,0)</f>
        <v>1</v>
      </c>
      <c r="H1" s="149">
        <f>MATCH(D14,H2:H4,0)</f>
        <v>1</v>
      </c>
      <c r="I1" s="149">
        <f>MATCH(D12,I2:I22,0)</f>
        <v>1</v>
      </c>
      <c r="K1" s="71" t="s">
        <v>0</v>
      </c>
    </row>
    <row r="2" spans="3:11" ht="18.75">
      <c r="C2" s="43" t="str">
        <f>$D$8</f>
        <v>-</v>
      </c>
      <c r="D2" s="155" t="s">
        <v>525</v>
      </c>
      <c r="E2" s="40" t="str">
        <f>$D$15&amp;" - "&amp;$D$13&amp;" ("&amp;$D$14&amp;")"</f>
        <v>2016 - - (-)</v>
      </c>
      <c r="F2" s="71" t="s">
        <v>0</v>
      </c>
      <c r="G2" s="135" t="s">
        <v>9</v>
      </c>
      <c r="H2" s="135" t="s">
        <v>9</v>
      </c>
      <c r="I2" s="135" t="s">
        <v>9</v>
      </c>
      <c r="J2" s="136" t="s">
        <v>9</v>
      </c>
      <c r="K2" s="71" t="s">
        <v>0</v>
      </c>
    </row>
    <row r="3" spans="3:11" ht="15">
      <c r="C3" s="137"/>
      <c r="E3" s="138"/>
      <c r="F3" s="71" t="s">
        <v>0</v>
      </c>
      <c r="G3" s="135" t="s">
        <v>57</v>
      </c>
      <c r="H3" s="135" t="s">
        <v>196</v>
      </c>
      <c r="I3" s="135" t="s">
        <v>198</v>
      </c>
      <c r="J3" s="139" t="s">
        <v>57</v>
      </c>
      <c r="K3" s="71" t="s">
        <v>0</v>
      </c>
    </row>
    <row r="4" spans="3:11" ht="15" customHeight="1">
      <c r="C4" s="8"/>
      <c r="E4" s="392" t="str">
        <f>HYPERLINK("#'P.index'!d7","&gt;&gt; goto index")</f>
        <v>&gt;&gt; goto index</v>
      </c>
      <c r="F4" s="71" t="s">
        <v>0</v>
      </c>
      <c r="G4" s="135" t="s">
        <v>245</v>
      </c>
      <c r="H4" s="135" t="s">
        <v>197</v>
      </c>
      <c r="I4" s="135" t="s">
        <v>62</v>
      </c>
      <c r="J4" s="139" t="s">
        <v>57</v>
      </c>
      <c r="K4" s="71" t="s">
        <v>0</v>
      </c>
    </row>
    <row r="5" spans="5:11" ht="15">
      <c r="E5" s="138"/>
      <c r="F5" s="71" t="s">
        <v>0</v>
      </c>
      <c r="G5" s="135" t="s">
        <v>95</v>
      </c>
      <c r="I5" s="135" t="s">
        <v>199</v>
      </c>
      <c r="J5" s="139" t="s">
        <v>57</v>
      </c>
      <c r="K5" s="71" t="s">
        <v>0</v>
      </c>
    </row>
    <row r="6" spans="3:11" ht="15">
      <c r="C6" s="2" t="s">
        <v>8</v>
      </c>
      <c r="D6" s="95"/>
      <c r="E6" s="140"/>
      <c r="F6" s="71" t="s">
        <v>0</v>
      </c>
      <c r="G6" s="135" t="s">
        <v>58</v>
      </c>
      <c r="I6" s="135" t="s">
        <v>127</v>
      </c>
      <c r="J6" s="139" t="s">
        <v>95</v>
      </c>
      <c r="K6" s="71" t="s">
        <v>0</v>
      </c>
    </row>
    <row r="7" spans="2:11" ht="15">
      <c r="B7" s="319" t="s">
        <v>323</v>
      </c>
      <c r="C7" s="104" t="s">
        <v>22</v>
      </c>
      <c r="D7" s="395" t="s">
        <v>9</v>
      </c>
      <c r="E7" s="141"/>
      <c r="F7" s="71" t="s">
        <v>0</v>
      </c>
      <c r="G7" s="135" t="s">
        <v>423</v>
      </c>
      <c r="I7" s="135" t="s">
        <v>64</v>
      </c>
      <c r="J7" s="139" t="s">
        <v>57</v>
      </c>
      <c r="K7" s="71" t="s">
        <v>0</v>
      </c>
    </row>
    <row r="8" spans="2:11" ht="15">
      <c r="B8" s="142"/>
      <c r="C8" s="143" t="s">
        <v>223</v>
      </c>
      <c r="D8" s="396" t="s">
        <v>9</v>
      </c>
      <c r="E8" s="93"/>
      <c r="F8" s="71" t="s">
        <v>0</v>
      </c>
      <c r="G8" s="135" t="s">
        <v>59</v>
      </c>
      <c r="I8" s="135" t="s">
        <v>243</v>
      </c>
      <c r="J8" s="139" t="s">
        <v>57</v>
      </c>
      <c r="K8" s="71" t="s">
        <v>0</v>
      </c>
    </row>
    <row r="9" spans="2:11" ht="15">
      <c r="B9" s="26"/>
      <c r="C9" s="144"/>
      <c r="D9" s="150"/>
      <c r="E9" s="93"/>
      <c r="F9" s="71" t="s">
        <v>0</v>
      </c>
      <c r="G9" s="135" t="s">
        <v>60</v>
      </c>
      <c r="I9" s="135" t="s">
        <v>200</v>
      </c>
      <c r="J9" s="139" t="s">
        <v>57</v>
      </c>
      <c r="K9" s="71" t="s">
        <v>0</v>
      </c>
    </row>
    <row r="10" spans="2:11" ht="15">
      <c r="B10" s="319" t="s">
        <v>323</v>
      </c>
      <c r="C10" s="387" t="s">
        <v>516</v>
      </c>
      <c r="D10" s="436" t="s">
        <v>9</v>
      </c>
      <c r="F10" s="71" t="s">
        <v>0</v>
      </c>
      <c r="I10" s="135" t="s">
        <v>426</v>
      </c>
      <c r="J10" s="139" t="s">
        <v>423</v>
      </c>
      <c r="K10" s="71" t="s">
        <v>0</v>
      </c>
    </row>
    <row r="11" spans="6:11" ht="15">
      <c r="F11" s="71" t="s">
        <v>0</v>
      </c>
      <c r="I11" s="135" t="s">
        <v>65</v>
      </c>
      <c r="J11" s="139" t="s">
        <v>57</v>
      </c>
      <c r="K11" s="71" t="s">
        <v>0</v>
      </c>
    </row>
    <row r="12" spans="3:11" ht="15">
      <c r="C12" s="104" t="s">
        <v>15</v>
      </c>
      <c r="D12" s="145" t="s">
        <v>9</v>
      </c>
      <c r="F12" s="71" t="s">
        <v>0</v>
      </c>
      <c r="I12" s="135" t="s">
        <v>201</v>
      </c>
      <c r="J12" s="139" t="s">
        <v>57</v>
      </c>
      <c r="K12" s="71" t="s">
        <v>0</v>
      </c>
    </row>
    <row r="13" spans="3:11" ht="15">
      <c r="C13" s="146" t="s">
        <v>13</v>
      </c>
      <c r="D13" s="125" t="str">
        <f>VLOOKUP(D12,I2:J22,2,FALSE)</f>
        <v>-</v>
      </c>
      <c r="F13" s="71" t="s">
        <v>0</v>
      </c>
      <c r="I13" s="135" t="s">
        <v>244</v>
      </c>
      <c r="J13" s="139" t="s">
        <v>245</v>
      </c>
      <c r="K13" s="71" t="s">
        <v>0</v>
      </c>
    </row>
    <row r="14" spans="3:11" ht="15">
      <c r="C14" s="143" t="s">
        <v>14</v>
      </c>
      <c r="D14" s="147" t="s">
        <v>9</v>
      </c>
      <c r="F14" s="71" t="s">
        <v>0</v>
      </c>
      <c r="I14" s="135" t="s">
        <v>202</v>
      </c>
      <c r="J14" s="139" t="s">
        <v>57</v>
      </c>
      <c r="K14" s="71" t="s">
        <v>0</v>
      </c>
    </row>
    <row r="15" spans="3:11" ht="15">
      <c r="C15" s="96" t="s">
        <v>11</v>
      </c>
      <c r="D15" s="148">
        <v>2016</v>
      </c>
      <c r="F15" s="71" t="s">
        <v>0</v>
      </c>
      <c r="I15" s="135" t="s">
        <v>203</v>
      </c>
      <c r="J15" s="139" t="s">
        <v>57</v>
      </c>
      <c r="K15" s="71" t="s">
        <v>0</v>
      </c>
    </row>
    <row r="16" spans="3:11" ht="15">
      <c r="C16" s="101" t="s">
        <v>12</v>
      </c>
      <c r="D16" s="398" t="s">
        <v>526</v>
      </c>
      <c r="F16" s="71" t="s">
        <v>0</v>
      </c>
      <c r="I16" s="135" t="s">
        <v>66</v>
      </c>
      <c r="J16" s="139" t="s">
        <v>59</v>
      </c>
      <c r="K16" s="71" t="s">
        <v>0</v>
      </c>
    </row>
    <row r="17" spans="6:11" ht="15">
      <c r="F17" s="71" t="s">
        <v>0</v>
      </c>
      <c r="I17" s="135" t="s">
        <v>67</v>
      </c>
      <c r="J17" s="139" t="s">
        <v>57</v>
      </c>
      <c r="K17" s="71" t="s">
        <v>0</v>
      </c>
    </row>
    <row r="18" spans="3:11" ht="15">
      <c r="C18" s="146" t="s">
        <v>10</v>
      </c>
      <c r="D18" s="151" t="s">
        <v>9</v>
      </c>
      <c r="F18" s="71" t="s">
        <v>0</v>
      </c>
      <c r="I18" s="135" t="s">
        <v>246</v>
      </c>
      <c r="J18" s="139" t="s">
        <v>57</v>
      </c>
      <c r="K18" s="71" t="s">
        <v>0</v>
      </c>
    </row>
    <row r="19" spans="6:11" ht="15">
      <c r="F19" s="71" t="s">
        <v>0</v>
      </c>
      <c r="I19" s="135" t="s">
        <v>204</v>
      </c>
      <c r="J19" s="38" t="s">
        <v>57</v>
      </c>
      <c r="K19" s="71" t="s">
        <v>0</v>
      </c>
    </row>
    <row r="20" spans="3:11" ht="15">
      <c r="C20" s="387" t="s">
        <v>16</v>
      </c>
      <c r="D20" s="401" t="s">
        <v>9</v>
      </c>
      <c r="F20" s="71" t="s">
        <v>0</v>
      </c>
      <c r="I20" s="135" t="s">
        <v>205</v>
      </c>
      <c r="J20" s="38" t="s">
        <v>57</v>
      </c>
      <c r="K20" s="71" t="s">
        <v>0</v>
      </c>
    </row>
    <row r="21" spans="6:11" ht="15">
      <c r="F21" s="71" t="s">
        <v>0</v>
      </c>
      <c r="I21" s="135" t="s">
        <v>68</v>
      </c>
      <c r="J21" s="38" t="s">
        <v>60</v>
      </c>
      <c r="K21" s="71" t="s">
        <v>0</v>
      </c>
    </row>
    <row r="22" spans="3:11" ht="15">
      <c r="C22" s="2" t="s">
        <v>17</v>
      </c>
      <c r="D22" s="95"/>
      <c r="E22" s="140"/>
      <c r="F22" s="71" t="s">
        <v>0</v>
      </c>
      <c r="I22" s="135" t="s">
        <v>69</v>
      </c>
      <c r="J22" s="38" t="s">
        <v>58</v>
      </c>
      <c r="K22" s="71" t="s">
        <v>0</v>
      </c>
    </row>
    <row r="23" spans="3:11" ht="15">
      <c r="C23" s="104" t="s">
        <v>23</v>
      </c>
      <c r="D23" s="152" t="s">
        <v>9</v>
      </c>
      <c r="E23" s="141"/>
      <c r="F23" s="71" t="s">
        <v>0</v>
      </c>
      <c r="K23" s="71" t="s">
        <v>0</v>
      </c>
    </row>
    <row r="24" spans="3:11" ht="15">
      <c r="C24" s="105" t="s">
        <v>18</v>
      </c>
      <c r="D24" s="153" t="s">
        <v>9</v>
      </c>
      <c r="E24" s="141"/>
      <c r="F24" s="71" t="s">
        <v>0</v>
      </c>
      <c r="K24" s="71" t="s">
        <v>0</v>
      </c>
    </row>
    <row r="25" spans="3:11" ht="15">
      <c r="C25" s="105" t="s">
        <v>19</v>
      </c>
      <c r="D25" s="153" t="s">
        <v>9</v>
      </c>
      <c r="E25" s="141"/>
      <c r="F25" s="71" t="s">
        <v>0</v>
      </c>
      <c r="K25" s="71" t="s">
        <v>0</v>
      </c>
    </row>
    <row r="26" spans="3:11" ht="15">
      <c r="C26" s="105" t="s">
        <v>20</v>
      </c>
      <c r="D26" s="153" t="s">
        <v>9</v>
      </c>
      <c r="E26" s="141"/>
      <c r="F26" s="71" t="s">
        <v>0</v>
      </c>
      <c r="K26" s="71" t="s">
        <v>0</v>
      </c>
    </row>
    <row r="27" spans="3:11" ht="15">
      <c r="C27" s="143" t="s">
        <v>21</v>
      </c>
      <c r="D27" s="154" t="s">
        <v>9</v>
      </c>
      <c r="E27" s="141"/>
      <c r="F27" s="71" t="s">
        <v>0</v>
      </c>
      <c r="K27" s="71" t="s">
        <v>0</v>
      </c>
    </row>
    <row r="28" spans="3:11" ht="15">
      <c r="C28" s="104" t="s">
        <v>23</v>
      </c>
      <c r="D28" s="152" t="s">
        <v>9</v>
      </c>
      <c r="E28" s="141"/>
      <c r="F28" s="71" t="s">
        <v>0</v>
      </c>
      <c r="K28" s="71" t="s">
        <v>0</v>
      </c>
    </row>
    <row r="29" spans="3:11" ht="15">
      <c r="C29" s="105" t="s">
        <v>18</v>
      </c>
      <c r="D29" s="153" t="s">
        <v>9</v>
      </c>
      <c r="E29" s="141"/>
      <c r="F29" s="71" t="s">
        <v>0</v>
      </c>
      <c r="K29" s="71" t="s">
        <v>0</v>
      </c>
    </row>
    <row r="30" spans="3:11" ht="15">
      <c r="C30" s="105" t="s">
        <v>19</v>
      </c>
      <c r="D30" s="153" t="s">
        <v>9</v>
      </c>
      <c r="E30" s="141"/>
      <c r="F30" s="71" t="s">
        <v>0</v>
      </c>
      <c r="K30" s="71" t="s">
        <v>0</v>
      </c>
    </row>
    <row r="31" spans="3:11" ht="15">
      <c r="C31" s="105" t="s">
        <v>20</v>
      </c>
      <c r="D31" s="153" t="s">
        <v>9</v>
      </c>
      <c r="E31" s="141"/>
      <c r="F31" s="71" t="s">
        <v>0</v>
      </c>
      <c r="K31" s="71" t="s">
        <v>0</v>
      </c>
    </row>
    <row r="32" spans="3:11" s="51" customFormat="1" ht="15">
      <c r="C32" s="143" t="s">
        <v>21</v>
      </c>
      <c r="D32" s="154" t="s">
        <v>9</v>
      </c>
      <c r="E32" s="141"/>
      <c r="F32" s="71" t="s">
        <v>0</v>
      </c>
      <c r="K32" s="71" t="s">
        <v>0</v>
      </c>
    </row>
    <row r="33" spans="1:11" ht="15">
      <c r="A33" s="71" t="s">
        <v>0</v>
      </c>
      <c r="B33" s="71" t="s">
        <v>0</v>
      </c>
      <c r="C33" s="71" t="s">
        <v>0</v>
      </c>
      <c r="D33" s="71" t="s">
        <v>0</v>
      </c>
      <c r="E33" s="71" t="s">
        <v>0</v>
      </c>
      <c r="F33" s="71" t="s">
        <v>0</v>
      </c>
      <c r="G33" s="71" t="s">
        <v>0</v>
      </c>
      <c r="H33" s="71" t="s">
        <v>0</v>
      </c>
      <c r="I33" s="71" t="s">
        <v>0</v>
      </c>
      <c r="J33" s="71" t="s">
        <v>0</v>
      </c>
      <c r="K33" s="71" t="s">
        <v>0</v>
      </c>
    </row>
    <row r="38" spans="1:5" ht="15">
      <c r="A38" s="138"/>
      <c r="B38" s="138"/>
      <c r="C38" s="138"/>
      <c r="D38" s="138"/>
      <c r="E38" s="138"/>
    </row>
    <row r="39" spans="1:5" ht="15">
      <c r="A39" s="138"/>
      <c r="B39" s="138"/>
      <c r="C39" s="138"/>
      <c r="D39" s="138"/>
      <c r="E39" s="138"/>
    </row>
    <row r="40" spans="1:5" ht="15">
      <c r="A40" s="138"/>
      <c r="B40" s="138"/>
      <c r="C40" s="138"/>
      <c r="D40" s="136"/>
      <c r="E40" s="138"/>
    </row>
    <row r="41" spans="1:5" ht="15">
      <c r="A41" s="138"/>
      <c r="B41" s="138"/>
      <c r="C41" s="138"/>
      <c r="D41" s="136"/>
      <c r="E41" s="138"/>
    </row>
    <row r="42" spans="1:5" ht="15">
      <c r="A42" s="138"/>
      <c r="B42" s="138"/>
      <c r="C42" s="138"/>
      <c r="D42" s="136"/>
      <c r="E42" s="138"/>
    </row>
    <row r="43" spans="1:5" ht="15">
      <c r="A43" s="138"/>
      <c r="B43" s="138"/>
      <c r="C43" s="138"/>
      <c r="D43" s="136"/>
      <c r="E43" s="138"/>
    </row>
    <row r="44" spans="1:5" ht="15">
      <c r="A44" s="138"/>
      <c r="B44" s="138"/>
      <c r="C44" s="138"/>
      <c r="D44" s="136"/>
      <c r="E44" s="138"/>
    </row>
    <row r="45" spans="1:5" ht="15">
      <c r="A45" s="138"/>
      <c r="B45" s="138"/>
      <c r="C45" s="138"/>
      <c r="D45" s="136"/>
      <c r="E45" s="138"/>
    </row>
    <row r="46" spans="1:5" ht="15">
      <c r="A46" s="138"/>
      <c r="B46" s="138"/>
      <c r="C46" s="138"/>
      <c r="D46" s="136"/>
      <c r="E46" s="138"/>
    </row>
    <row r="47" spans="1:5" ht="15">
      <c r="A47" s="138"/>
      <c r="B47" s="138"/>
      <c r="C47" s="138"/>
      <c r="D47" s="136"/>
      <c r="E47" s="138"/>
    </row>
    <row r="48" spans="1:5" ht="15">
      <c r="A48" s="138"/>
      <c r="B48" s="138"/>
      <c r="C48" s="138"/>
      <c r="D48" s="136"/>
      <c r="E48" s="138"/>
    </row>
    <row r="49" spans="1:5" ht="15">
      <c r="A49" s="138"/>
      <c r="B49" s="138"/>
      <c r="C49" s="138"/>
      <c r="D49" s="136"/>
      <c r="E49" s="138"/>
    </row>
    <row r="50" spans="1:5" ht="15">
      <c r="A50" s="138"/>
      <c r="B50" s="138"/>
      <c r="C50" s="138"/>
      <c r="D50" s="136"/>
      <c r="E50" s="138"/>
    </row>
    <row r="51" spans="1:5" ht="15">
      <c r="A51" s="138"/>
      <c r="B51" s="138"/>
      <c r="C51" s="138"/>
      <c r="D51" s="136"/>
      <c r="E51" s="138"/>
    </row>
    <row r="52" spans="1:5" ht="15">
      <c r="A52" s="138"/>
      <c r="B52" s="138"/>
      <c r="C52" s="138"/>
      <c r="D52" s="136"/>
      <c r="E52" s="138"/>
    </row>
    <row r="53" spans="1:5" ht="15">
      <c r="A53" s="138"/>
      <c r="B53" s="138"/>
      <c r="C53" s="138"/>
      <c r="D53" s="136"/>
      <c r="E53" s="138"/>
    </row>
    <row r="54" spans="1:5" ht="15">
      <c r="A54" s="138"/>
      <c r="B54" s="138"/>
      <c r="C54" s="138"/>
      <c r="D54" s="136"/>
      <c r="E54" s="138"/>
    </row>
    <row r="55" spans="1:5" ht="15">
      <c r="A55" s="138"/>
      <c r="B55" s="138"/>
      <c r="C55" s="138"/>
      <c r="D55" s="136"/>
      <c r="E55" s="138"/>
    </row>
    <row r="56" spans="1:5" ht="15">
      <c r="A56" s="138"/>
      <c r="B56" s="138"/>
      <c r="C56" s="138"/>
      <c r="D56" s="138"/>
      <c r="E56" s="138"/>
    </row>
    <row r="57" spans="1:5" ht="15">
      <c r="A57" s="138"/>
      <c r="B57" s="138"/>
      <c r="C57" s="138"/>
      <c r="D57" s="138"/>
      <c r="E57" s="138"/>
    </row>
    <row r="58" spans="1:5" ht="15">
      <c r="A58" s="138"/>
      <c r="B58" s="138"/>
      <c r="C58" s="138"/>
      <c r="D58" s="138"/>
      <c r="E58" s="138"/>
    </row>
    <row r="59" spans="1:5" ht="15">
      <c r="A59" s="138"/>
      <c r="B59" s="138"/>
      <c r="C59" s="138"/>
      <c r="D59" s="138"/>
      <c r="E59" s="138"/>
    </row>
    <row r="60" spans="1:5" ht="15">
      <c r="A60" s="138"/>
      <c r="B60" s="138"/>
      <c r="C60" s="138"/>
      <c r="D60" s="138"/>
      <c r="E60" s="138"/>
    </row>
    <row r="61" spans="1:5" ht="15">
      <c r="A61" s="138"/>
      <c r="B61" s="138"/>
      <c r="C61" s="138"/>
      <c r="D61" s="138"/>
      <c r="E61" s="138"/>
    </row>
    <row r="62" spans="1:5" ht="15">
      <c r="A62" s="138"/>
      <c r="B62" s="138"/>
      <c r="C62" s="138"/>
      <c r="D62" s="138"/>
      <c r="E62" s="138"/>
    </row>
  </sheetData>
  <sheetProtection formatCells="0"/>
  <dataValidations count="3">
    <dataValidation type="list" allowBlank="1" showInputMessage="1" showErrorMessage="1" sqref="D14">
      <formula1>$H$2:$H$4</formula1>
    </dataValidation>
    <dataValidation type="list" allowBlank="1" showInputMessage="1" showErrorMessage="1" sqref="D12">
      <formula1>$I$2:$I$22</formula1>
    </dataValidation>
    <dataValidation type="textLength" operator="equal" allowBlank="1" showInputMessage="1" showErrorMessage="1" error="Participant code should consist of exactly 6 characters." sqref="D10">
      <formula1>6</formula1>
    </dataValidation>
  </dataValidations>
  <printOptions/>
  <pageMargins left="0.7" right="0.7" top="0.787401575" bottom="0.787401575" header="0.3" footer="0.3"/>
  <pageSetup horizontalDpi="600" verticalDpi="600" orientation="landscape" paperSize="9"/>
  <headerFooter>
    <oddFooter>&amp;CParticipant&amp;R&amp;P / &amp;N</oddFooter>
  </headerFooter>
  <legacyDrawing r:id="rId2"/>
</worksheet>
</file>

<file path=xl/worksheets/sheet4.xml><?xml version="1.0" encoding="utf-8"?>
<worksheet xmlns="http://schemas.openxmlformats.org/spreadsheetml/2006/main" xmlns:r="http://schemas.openxmlformats.org/officeDocument/2006/relationships">
  <sheetPr>
    <tabColor theme="4"/>
    <pageSetUpPr fitToPage="1"/>
  </sheetPr>
  <dimension ref="A1:H143"/>
  <sheetViews>
    <sheetView zoomScalePageLayoutView="0" workbookViewId="0" topLeftCell="A1">
      <selection activeCell="C1" sqref="C1"/>
    </sheetView>
  </sheetViews>
  <sheetFormatPr defaultColWidth="11.421875" defaultRowHeight="15"/>
  <cols>
    <col min="1" max="2" width="11.8515625" style="38" customWidth="1"/>
    <col min="3" max="3" width="56.8515625" style="38" customWidth="1"/>
    <col min="4" max="7" width="19.28125" style="38" customWidth="1"/>
    <col min="8" max="8" width="3.7109375" style="38" customWidth="1"/>
    <col min="9" max="16384" width="11.421875" style="33" customWidth="1"/>
  </cols>
  <sheetData>
    <row r="1" spans="3:8" ht="15">
      <c r="C1" s="68" t="str">
        <f>Participant!$C$1</f>
        <v>-</v>
      </c>
      <c r="D1" s="69"/>
      <c r="E1" s="69"/>
      <c r="F1" s="69"/>
      <c r="G1" s="70" t="str">
        <f>Version</f>
        <v>EIOPA-17-283-IORP_ST17_DB_Template-(20170518)</v>
      </c>
      <c r="H1" s="71" t="s">
        <v>0</v>
      </c>
    </row>
    <row r="2" spans="3:8" ht="18.75">
      <c r="C2" s="43" t="str">
        <f>Participant!$C$2</f>
        <v>-</v>
      </c>
      <c r="D2" s="134" t="s">
        <v>417</v>
      </c>
      <c r="E2" s="110"/>
      <c r="F2" s="72"/>
      <c r="G2" s="111" t="str">
        <f>Participant!$E$2</f>
        <v>2016 - - (-)</v>
      </c>
      <c r="H2" s="71" t="s">
        <v>0</v>
      </c>
    </row>
    <row r="3" spans="3:8" ht="15">
      <c r="C3" s="28"/>
      <c r="H3" s="71" t="s">
        <v>0</v>
      </c>
    </row>
    <row r="4" spans="3:8" ht="15">
      <c r="C4" s="58" t="s">
        <v>73</v>
      </c>
      <c r="G4" s="27" t="str">
        <f>HYPERLINK("#'P.Index'!D8","&gt;&gt; goto index")</f>
        <v>&gt;&gt; goto index</v>
      </c>
      <c r="H4" s="71" t="s">
        <v>0</v>
      </c>
    </row>
    <row r="5" spans="3:8" ht="15">
      <c r="C5" s="59" t="s">
        <v>74</v>
      </c>
      <c r="D5" s="74"/>
      <c r="E5" s="74"/>
      <c r="G5" s="73"/>
      <c r="H5" s="71" t="s">
        <v>0</v>
      </c>
    </row>
    <row r="6" spans="3:8" ht="15">
      <c r="C6" s="60" t="s">
        <v>75</v>
      </c>
      <c r="D6" s="74"/>
      <c r="E6" s="74"/>
      <c r="G6" s="74"/>
      <c r="H6" s="71" t="s">
        <v>0</v>
      </c>
    </row>
    <row r="7" spans="2:8" ht="15">
      <c r="B7" s="74"/>
      <c r="C7" s="32"/>
      <c r="D7" s="112"/>
      <c r="E7" s="74"/>
      <c r="F7" s="75"/>
      <c r="G7" s="74"/>
      <c r="H7" s="71" t="s">
        <v>0</v>
      </c>
    </row>
    <row r="8" spans="2:8" ht="15">
      <c r="B8" s="74"/>
      <c r="C8" s="156"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D8" s="112"/>
      <c r="E8" s="74"/>
      <c r="F8" s="75"/>
      <c r="G8" s="74"/>
      <c r="H8" s="71" t="s">
        <v>0</v>
      </c>
    </row>
    <row r="9" spans="2:8" ht="15">
      <c r="B9" s="74"/>
      <c r="C9" s="32"/>
      <c r="D9" s="112"/>
      <c r="E9" s="74"/>
      <c r="F9" s="75"/>
      <c r="G9" s="74"/>
      <c r="H9" s="71" t="s">
        <v>0</v>
      </c>
    </row>
    <row r="10" spans="3:8" ht="31.5">
      <c r="C10" s="244" t="s">
        <v>290</v>
      </c>
      <c r="D10" s="245" t="s">
        <v>89</v>
      </c>
      <c r="E10" s="245"/>
      <c r="F10" s="245" t="s">
        <v>331</v>
      </c>
      <c r="G10" s="246"/>
      <c r="H10" s="247" t="s">
        <v>0</v>
      </c>
    </row>
    <row r="11" spans="3:8" ht="45">
      <c r="C11" s="76"/>
      <c r="D11" s="29" t="s">
        <v>91</v>
      </c>
      <c r="E11" s="77"/>
      <c r="F11" s="5" t="s">
        <v>91</v>
      </c>
      <c r="G11" s="113" t="s">
        <v>206</v>
      </c>
      <c r="H11" s="71" t="s">
        <v>0</v>
      </c>
    </row>
    <row r="12" spans="3:8" ht="15">
      <c r="C12" s="289" t="s">
        <v>35</v>
      </c>
      <c r="D12" s="288">
        <f>SUM(D13:D17)</f>
        <v>0</v>
      </c>
      <c r="E12" s="79"/>
      <c r="F12" s="114">
        <f>SUM(F13:F17)</f>
        <v>0</v>
      </c>
      <c r="G12" s="115" t="str">
        <f>IF(SUM(D12)=0,"%",(SUM(F12)/SUM(D12)-1))</f>
        <v>%</v>
      </c>
      <c r="H12" s="71" t="s">
        <v>0</v>
      </c>
    </row>
    <row r="13" spans="3:8" ht="15">
      <c r="C13" s="290" t="s">
        <v>247</v>
      </c>
      <c r="D13" s="231" t="s">
        <v>9</v>
      </c>
      <c r="E13" s="81"/>
      <c r="F13" s="116" t="s">
        <v>9</v>
      </c>
      <c r="G13" s="117" t="str">
        <f aca="true" t="shared" si="0" ref="G13:G49">IF(SUM(D13)=0,"%",(SUM(F13)/SUM(D13)-1))</f>
        <v>%</v>
      </c>
      <c r="H13" s="71" t="s">
        <v>0</v>
      </c>
    </row>
    <row r="14" spans="3:8" ht="15">
      <c r="C14" s="290" t="s">
        <v>248</v>
      </c>
      <c r="D14" s="231" t="s">
        <v>9</v>
      </c>
      <c r="E14" s="81"/>
      <c r="F14" s="116" t="s">
        <v>9</v>
      </c>
      <c r="G14" s="117" t="str">
        <f t="shared" si="0"/>
        <v>%</v>
      </c>
      <c r="H14" s="71" t="s">
        <v>0</v>
      </c>
    </row>
    <row r="15" spans="3:8" ht="15">
      <c r="C15" s="290" t="s">
        <v>249</v>
      </c>
      <c r="D15" s="231" t="s">
        <v>9</v>
      </c>
      <c r="E15" s="81"/>
      <c r="F15" s="116" t="s">
        <v>9</v>
      </c>
      <c r="G15" s="117" t="str">
        <f t="shared" si="0"/>
        <v>%</v>
      </c>
      <c r="H15" s="71" t="s">
        <v>0</v>
      </c>
    </row>
    <row r="16" spans="3:8" ht="15">
      <c r="C16" s="412" t="s">
        <v>540</v>
      </c>
      <c r="D16" s="365" t="s">
        <v>9</v>
      </c>
      <c r="E16" s="81"/>
      <c r="F16" s="116" t="s">
        <v>9</v>
      </c>
      <c r="G16" s="117" t="str">
        <f t="shared" si="0"/>
        <v>%</v>
      </c>
      <c r="H16" s="71" t="s">
        <v>0</v>
      </c>
    </row>
    <row r="17" spans="3:8" ht="15">
      <c r="C17" s="413" t="s">
        <v>541</v>
      </c>
      <c r="D17" s="235" t="s">
        <v>9</v>
      </c>
      <c r="E17" s="83"/>
      <c r="F17" s="118" t="s">
        <v>9</v>
      </c>
      <c r="G17" s="119" t="str">
        <f t="shared" si="0"/>
        <v>%</v>
      </c>
      <c r="H17" s="71" t="s">
        <v>0</v>
      </c>
    </row>
    <row r="18" spans="3:8" ht="15">
      <c r="C18" s="256" t="s">
        <v>36</v>
      </c>
      <c r="D18" s="114">
        <f>SUM(D19,D24)</f>
        <v>0</v>
      </c>
      <c r="E18" s="79"/>
      <c r="F18" s="114">
        <f>SUM(F19,F24)</f>
        <v>0</v>
      </c>
      <c r="G18" s="115" t="str">
        <f t="shared" si="0"/>
        <v>%</v>
      </c>
      <c r="H18" s="71" t="s">
        <v>0</v>
      </c>
    </row>
    <row r="19" spans="3:8" ht="15">
      <c r="C19" s="84" t="s">
        <v>96</v>
      </c>
      <c r="D19" s="120">
        <f>SUM(D20:D23)</f>
        <v>0</v>
      </c>
      <c r="E19" s="81"/>
      <c r="F19" s="120">
        <f>SUM(F20:F23)</f>
        <v>0</v>
      </c>
      <c r="G19" s="117" t="str">
        <f t="shared" si="0"/>
        <v>%</v>
      </c>
      <c r="H19" s="71" t="s">
        <v>0</v>
      </c>
    </row>
    <row r="20" spans="3:8" ht="15">
      <c r="C20" s="85" t="s">
        <v>104</v>
      </c>
      <c r="D20" s="418" t="s">
        <v>9</v>
      </c>
      <c r="E20" s="81"/>
      <c r="F20" s="418" t="s">
        <v>9</v>
      </c>
      <c r="G20" s="117" t="str">
        <f t="shared" si="0"/>
        <v>%</v>
      </c>
      <c r="H20" s="71" t="s">
        <v>0</v>
      </c>
    </row>
    <row r="21" spans="3:8" ht="15">
      <c r="C21" s="85" t="s">
        <v>105</v>
      </c>
      <c r="D21" s="388" t="s">
        <v>9</v>
      </c>
      <c r="E21" s="81"/>
      <c r="F21" s="116" t="s">
        <v>9</v>
      </c>
      <c r="G21" s="117" t="str">
        <f t="shared" si="0"/>
        <v>%</v>
      </c>
      <c r="H21" s="71" t="s">
        <v>0</v>
      </c>
    </row>
    <row r="22" spans="3:8" ht="15">
      <c r="C22" s="85" t="s">
        <v>250</v>
      </c>
      <c r="D22" s="366" t="s">
        <v>9</v>
      </c>
      <c r="E22" s="81"/>
      <c r="F22" s="116" t="s">
        <v>9</v>
      </c>
      <c r="G22" s="117" t="str">
        <f t="shared" si="0"/>
        <v>%</v>
      </c>
      <c r="H22" s="71" t="s">
        <v>0</v>
      </c>
    </row>
    <row r="23" spans="3:8" ht="15">
      <c r="C23" s="85" t="s">
        <v>251</v>
      </c>
      <c r="D23" s="116" t="s">
        <v>9</v>
      </c>
      <c r="E23" s="81"/>
      <c r="F23" s="116" t="s">
        <v>9</v>
      </c>
      <c r="G23" s="117" t="str">
        <f t="shared" si="0"/>
        <v>%</v>
      </c>
      <c r="H23" s="71" t="s">
        <v>0</v>
      </c>
    </row>
    <row r="24" spans="3:8" ht="15">
      <c r="C24" s="84" t="s">
        <v>255</v>
      </c>
      <c r="D24" s="120">
        <f>SUM(D25:D27)</f>
        <v>0</v>
      </c>
      <c r="E24" s="81"/>
      <c r="F24" s="120">
        <f>SUM(F25:F27)</f>
        <v>0</v>
      </c>
      <c r="G24" s="117" t="str">
        <f t="shared" si="0"/>
        <v>%</v>
      </c>
      <c r="H24" s="71" t="s">
        <v>0</v>
      </c>
    </row>
    <row r="25" spans="3:8" ht="15">
      <c r="C25" s="85" t="s">
        <v>252</v>
      </c>
      <c r="D25" s="116" t="s">
        <v>9</v>
      </c>
      <c r="E25" s="81"/>
      <c r="F25" s="116" t="s">
        <v>9</v>
      </c>
      <c r="G25" s="117" t="str">
        <f t="shared" si="0"/>
        <v>%</v>
      </c>
      <c r="H25" s="71" t="s">
        <v>0</v>
      </c>
    </row>
    <row r="26" spans="3:8" ht="15">
      <c r="C26" s="85" t="s">
        <v>253</v>
      </c>
      <c r="D26" s="116" t="s">
        <v>9</v>
      </c>
      <c r="E26" s="81"/>
      <c r="F26" s="116" t="s">
        <v>9</v>
      </c>
      <c r="G26" s="117" t="str">
        <f t="shared" si="0"/>
        <v>%</v>
      </c>
      <c r="H26" s="71" t="s">
        <v>0</v>
      </c>
    </row>
    <row r="27" spans="3:8" ht="15">
      <c r="C27" s="86" t="s">
        <v>254</v>
      </c>
      <c r="D27" s="118" t="s">
        <v>9</v>
      </c>
      <c r="E27" s="83"/>
      <c r="F27" s="118" t="s">
        <v>9</v>
      </c>
      <c r="G27" s="119" t="str">
        <f t="shared" si="0"/>
        <v>%</v>
      </c>
      <c r="H27" s="71" t="s">
        <v>0</v>
      </c>
    </row>
    <row r="28" spans="3:8" ht="15">
      <c r="C28" s="78" t="s">
        <v>97</v>
      </c>
      <c r="D28" s="114">
        <f>SUM(D29,D32,D37,D38)</f>
        <v>0</v>
      </c>
      <c r="E28" s="79"/>
      <c r="F28" s="114">
        <f>SUM(F29,F32,F37,F38)</f>
        <v>0</v>
      </c>
      <c r="G28" s="115" t="str">
        <f t="shared" si="0"/>
        <v>%</v>
      </c>
      <c r="H28" s="71" t="s">
        <v>0</v>
      </c>
    </row>
    <row r="29" spans="3:8" ht="15">
      <c r="C29" s="84" t="s">
        <v>256</v>
      </c>
      <c r="D29" s="120">
        <f>SUM(D30:D31)</f>
        <v>0</v>
      </c>
      <c r="E29" s="81"/>
      <c r="F29" s="120">
        <f>SUM(F30:F31)</f>
        <v>0</v>
      </c>
      <c r="G29" s="117" t="str">
        <f t="shared" si="0"/>
        <v>%</v>
      </c>
      <c r="H29" s="71" t="s">
        <v>0</v>
      </c>
    </row>
    <row r="30" spans="3:8" ht="15">
      <c r="C30" s="411" t="s">
        <v>538</v>
      </c>
      <c r="D30" s="418" t="s">
        <v>9</v>
      </c>
      <c r="E30" s="81"/>
      <c r="F30" s="116" t="s">
        <v>9</v>
      </c>
      <c r="G30" s="117" t="str">
        <f t="shared" si="0"/>
        <v>%</v>
      </c>
      <c r="H30" s="71" t="s">
        <v>0</v>
      </c>
    </row>
    <row r="31" spans="3:8" ht="15">
      <c r="C31" s="411" t="s">
        <v>539</v>
      </c>
      <c r="D31" s="116" t="s">
        <v>9</v>
      </c>
      <c r="E31" s="81"/>
      <c r="F31" s="366" t="s">
        <v>9</v>
      </c>
      <c r="G31" s="117" t="str">
        <f t="shared" si="0"/>
        <v>%</v>
      </c>
      <c r="H31" s="71" t="s">
        <v>0</v>
      </c>
    </row>
    <row r="32" spans="3:8" ht="15">
      <c r="C32" s="84" t="s">
        <v>257</v>
      </c>
      <c r="D32" s="120">
        <f>SUM(D33,D34)</f>
        <v>0</v>
      </c>
      <c r="E32" s="81"/>
      <c r="F32" s="120">
        <f>SUM(F33,F34)</f>
        <v>0</v>
      </c>
      <c r="G32" s="117" t="str">
        <f t="shared" si="0"/>
        <v>%</v>
      </c>
      <c r="H32" s="71" t="s">
        <v>0</v>
      </c>
    </row>
    <row r="33" spans="3:8" ht="15">
      <c r="C33" s="85" t="s">
        <v>98</v>
      </c>
      <c r="D33" s="418" t="s">
        <v>9</v>
      </c>
      <c r="E33" s="81"/>
      <c r="F33" s="116" t="s">
        <v>9</v>
      </c>
      <c r="G33" s="117" t="str">
        <f t="shared" si="0"/>
        <v>%</v>
      </c>
      <c r="H33" s="71" t="s">
        <v>0</v>
      </c>
    </row>
    <row r="34" spans="3:8" ht="15">
      <c r="C34" s="85" t="s">
        <v>99</v>
      </c>
      <c r="D34" s="120">
        <f>SUM(D35:D36)</f>
        <v>0</v>
      </c>
      <c r="E34" s="81"/>
      <c r="F34" s="120">
        <f>SUM(F35:F36)</f>
        <v>0</v>
      </c>
      <c r="G34" s="117" t="str">
        <f t="shared" si="0"/>
        <v>%</v>
      </c>
      <c r="H34" s="71" t="s">
        <v>0</v>
      </c>
    </row>
    <row r="35" spans="3:8" ht="15">
      <c r="C35" s="87" t="s">
        <v>103</v>
      </c>
      <c r="D35" s="116" t="s">
        <v>9</v>
      </c>
      <c r="E35" s="81"/>
      <c r="F35" s="116" t="s">
        <v>9</v>
      </c>
      <c r="G35" s="117" t="str">
        <f t="shared" si="0"/>
        <v>%</v>
      </c>
      <c r="H35" s="71" t="s">
        <v>0</v>
      </c>
    </row>
    <row r="36" spans="3:8" ht="15">
      <c r="C36" s="87" t="s">
        <v>100</v>
      </c>
      <c r="D36" s="116" t="s">
        <v>9</v>
      </c>
      <c r="E36" s="81"/>
      <c r="F36" s="116" t="s">
        <v>9</v>
      </c>
      <c r="G36" s="117" t="str">
        <f t="shared" si="0"/>
        <v>%</v>
      </c>
      <c r="H36" s="71" t="s">
        <v>0</v>
      </c>
    </row>
    <row r="37" spans="3:8" ht="15">
      <c r="C37" s="84" t="s">
        <v>258</v>
      </c>
      <c r="D37" s="116" t="s">
        <v>9</v>
      </c>
      <c r="E37" s="81"/>
      <c r="F37" s="116" t="s">
        <v>9</v>
      </c>
      <c r="G37" s="117" t="str">
        <f t="shared" si="0"/>
        <v>%</v>
      </c>
      <c r="H37" s="71" t="s">
        <v>0</v>
      </c>
    </row>
    <row r="38" spans="3:8" ht="15">
      <c r="C38" s="88" t="s">
        <v>259</v>
      </c>
      <c r="D38" s="118" t="s">
        <v>9</v>
      </c>
      <c r="E38" s="83"/>
      <c r="F38" s="118" t="s">
        <v>9</v>
      </c>
      <c r="G38" s="119" t="str">
        <f t="shared" si="0"/>
        <v>%</v>
      </c>
      <c r="H38" s="71" t="s">
        <v>0</v>
      </c>
    </row>
    <row r="39" spans="3:8" ht="15">
      <c r="C39" s="78" t="s">
        <v>106</v>
      </c>
      <c r="D39" s="114">
        <f>SUM(D40:D41)</f>
        <v>0</v>
      </c>
      <c r="E39" s="79"/>
      <c r="F39" s="114">
        <f>SUM(F40:F41)</f>
        <v>0</v>
      </c>
      <c r="G39" s="115" t="str">
        <f t="shared" si="0"/>
        <v>%</v>
      </c>
      <c r="H39" s="71" t="s">
        <v>0</v>
      </c>
    </row>
    <row r="40" spans="3:8" ht="15">
      <c r="C40" s="80" t="s">
        <v>102</v>
      </c>
      <c r="D40" s="116" t="s">
        <v>9</v>
      </c>
      <c r="E40" s="81"/>
      <c r="F40" s="116" t="s">
        <v>9</v>
      </c>
      <c r="G40" s="117" t="str">
        <f t="shared" si="0"/>
        <v>%</v>
      </c>
      <c r="H40" s="71" t="s">
        <v>0</v>
      </c>
    </row>
    <row r="41" spans="3:8" ht="15">
      <c r="C41" s="82" t="s">
        <v>101</v>
      </c>
      <c r="D41" s="118" t="s">
        <v>9</v>
      </c>
      <c r="E41" s="83"/>
      <c r="F41" s="118" t="s">
        <v>9</v>
      </c>
      <c r="G41" s="119" t="str">
        <f t="shared" si="0"/>
        <v>%</v>
      </c>
      <c r="H41" s="71" t="s">
        <v>0</v>
      </c>
    </row>
    <row r="42" spans="3:8" ht="15">
      <c r="C42" s="89" t="s">
        <v>39</v>
      </c>
      <c r="D42" s="406" t="s">
        <v>9</v>
      </c>
      <c r="E42" s="90"/>
      <c r="F42" s="406" t="s">
        <v>9</v>
      </c>
      <c r="G42" s="122" t="str">
        <f>IF(SUM(D42)=0,"%",IF(SUM(D42)&gt;0,(SUM(F42)/SUM(D42)-1),-(SUM(F42)/SUM(D42)-1)))</f>
        <v>%</v>
      </c>
      <c r="H42" s="71" t="s">
        <v>0</v>
      </c>
    </row>
    <row r="43" spans="3:8" ht="15">
      <c r="C43" s="89" t="s">
        <v>120</v>
      </c>
      <c r="D43" s="121" t="s">
        <v>9</v>
      </c>
      <c r="E43" s="90"/>
      <c r="F43" s="121" t="s">
        <v>9</v>
      </c>
      <c r="G43" s="122" t="str">
        <f t="shared" si="0"/>
        <v>%</v>
      </c>
      <c r="H43" s="71" t="s">
        <v>0</v>
      </c>
    </row>
    <row r="44" spans="3:8" ht="15">
      <c r="C44" s="89" t="s">
        <v>82</v>
      </c>
      <c r="D44" s="121" t="s">
        <v>9</v>
      </c>
      <c r="E44" s="90"/>
      <c r="F44" s="121" t="s">
        <v>9</v>
      </c>
      <c r="G44" s="122" t="str">
        <f t="shared" si="0"/>
        <v>%</v>
      </c>
      <c r="H44" s="71" t="s">
        <v>0</v>
      </c>
    </row>
    <row r="45" spans="3:8" ht="15">
      <c r="C45" s="91" t="s">
        <v>40</v>
      </c>
      <c r="D45" s="120">
        <f>SUM(D46:D48)</f>
        <v>0</v>
      </c>
      <c r="E45" s="81"/>
      <c r="F45" s="120">
        <f>SUM(F46:F48)</f>
        <v>0</v>
      </c>
      <c r="G45" s="117" t="str">
        <f t="shared" si="0"/>
        <v>%</v>
      </c>
      <c r="H45" s="71" t="s">
        <v>0</v>
      </c>
    </row>
    <row r="46" spans="3:8" ht="15">
      <c r="C46" s="84" t="s">
        <v>260</v>
      </c>
      <c r="D46" s="116" t="s">
        <v>9</v>
      </c>
      <c r="E46" s="81"/>
      <c r="F46" s="116" t="s">
        <v>9</v>
      </c>
      <c r="G46" s="117" t="str">
        <f t="shared" si="0"/>
        <v>%</v>
      </c>
      <c r="H46" s="71" t="s">
        <v>0</v>
      </c>
    </row>
    <row r="47" spans="3:8" ht="15">
      <c r="C47" s="84" t="s">
        <v>261</v>
      </c>
      <c r="D47" s="116" t="s">
        <v>9</v>
      </c>
      <c r="E47" s="81"/>
      <c r="F47" s="116" t="s">
        <v>9</v>
      </c>
      <c r="G47" s="117" t="str">
        <f t="shared" si="0"/>
        <v>%</v>
      </c>
      <c r="H47" s="71" t="s">
        <v>0</v>
      </c>
    </row>
    <row r="48" spans="3:8" ht="15">
      <c r="C48" s="84" t="s">
        <v>254</v>
      </c>
      <c r="D48" s="116" t="s">
        <v>9</v>
      </c>
      <c r="E48" s="81"/>
      <c r="F48" s="116" t="s">
        <v>9</v>
      </c>
      <c r="G48" s="117" t="str">
        <f t="shared" si="0"/>
        <v>%</v>
      </c>
      <c r="H48" s="71" t="s">
        <v>0</v>
      </c>
    </row>
    <row r="49" spans="2:8" ht="15">
      <c r="B49" s="61"/>
      <c r="C49" s="34" t="s">
        <v>90</v>
      </c>
      <c r="D49" s="123">
        <f>SUM(D12,D18,D28,D39,D42,D43,D44,D45)</f>
        <v>0</v>
      </c>
      <c r="E49" s="416"/>
      <c r="F49" s="123">
        <f>SUM(F12,F18,F28,F39,F42,F43,F44,F45)</f>
        <v>0</v>
      </c>
      <c r="G49" s="122" t="str">
        <f t="shared" si="0"/>
        <v>%</v>
      </c>
      <c r="H49" s="71" t="s">
        <v>0</v>
      </c>
    </row>
    <row r="50" ht="15">
      <c r="H50" s="71" t="s">
        <v>0</v>
      </c>
    </row>
    <row r="51" spans="1:8" ht="15">
      <c r="A51" s="51"/>
      <c r="B51" s="51"/>
      <c r="C51" s="51"/>
      <c r="D51" s="51"/>
      <c r="E51" s="361"/>
      <c r="F51" s="51"/>
      <c r="G51" s="51"/>
      <c r="H51" s="71" t="s">
        <v>0</v>
      </c>
    </row>
    <row r="52" spans="1:8" ht="15">
      <c r="A52" s="51"/>
      <c r="B52" s="51"/>
      <c r="C52" s="51"/>
      <c r="D52" s="51"/>
      <c r="E52" s="51"/>
      <c r="F52" s="51"/>
      <c r="G52" s="51"/>
      <c r="H52" s="71" t="s">
        <v>0</v>
      </c>
    </row>
    <row r="53" spans="1:8" ht="31.5">
      <c r="A53" s="51"/>
      <c r="B53" s="51"/>
      <c r="C53" s="244" t="s">
        <v>450</v>
      </c>
      <c r="D53" s="4"/>
      <c r="E53" s="51"/>
      <c r="F53" s="51"/>
      <c r="G53" s="51"/>
      <c r="H53" s="71" t="s">
        <v>0</v>
      </c>
    </row>
    <row r="54" spans="1:8" ht="15">
      <c r="A54" s="51"/>
      <c r="B54" s="51"/>
      <c r="C54" s="347" t="s">
        <v>448</v>
      </c>
      <c r="D54" s="386" t="s">
        <v>519</v>
      </c>
      <c r="E54" s="51"/>
      <c r="F54" s="51"/>
      <c r="G54" s="51"/>
      <c r="H54" s="71" t="s">
        <v>0</v>
      </c>
    </row>
    <row r="55" spans="1:8" ht="15">
      <c r="A55" s="51"/>
      <c r="B55" s="51"/>
      <c r="C55" s="348" t="s">
        <v>97</v>
      </c>
      <c r="D55" s="422" t="s">
        <v>9</v>
      </c>
      <c r="E55" s="51"/>
      <c r="F55" s="51"/>
      <c r="G55" s="51"/>
      <c r="H55" s="71" t="s">
        <v>0</v>
      </c>
    </row>
    <row r="56" spans="1:8" ht="15">
      <c r="A56" s="51"/>
      <c r="B56" s="51"/>
      <c r="C56" s="349" t="s">
        <v>256</v>
      </c>
      <c r="D56" s="339" t="s">
        <v>9</v>
      </c>
      <c r="E56" s="51"/>
      <c r="F56" s="51"/>
      <c r="G56" s="51"/>
      <c r="H56" s="71" t="s">
        <v>0</v>
      </c>
    </row>
    <row r="57" spans="1:8" ht="15">
      <c r="A57" s="51"/>
      <c r="B57" s="51"/>
      <c r="C57" s="349" t="s">
        <v>257</v>
      </c>
      <c r="D57" s="339" t="s">
        <v>9</v>
      </c>
      <c r="E57" s="51"/>
      <c r="F57" s="51"/>
      <c r="G57" s="51"/>
      <c r="H57" s="71" t="s">
        <v>0</v>
      </c>
    </row>
    <row r="58" spans="1:8" ht="15">
      <c r="A58" s="51"/>
      <c r="B58" s="51"/>
      <c r="C58" s="350" t="s">
        <v>106</v>
      </c>
      <c r="D58" s="339" t="s">
        <v>9</v>
      </c>
      <c r="E58" s="51"/>
      <c r="F58" s="51"/>
      <c r="G58" s="51"/>
      <c r="H58" s="71" t="s">
        <v>0</v>
      </c>
    </row>
    <row r="59" spans="1:8" ht="15">
      <c r="A59" s="51"/>
      <c r="B59" s="51"/>
      <c r="C59" s="351" t="s">
        <v>449</v>
      </c>
      <c r="D59" s="353" t="s">
        <v>9</v>
      </c>
      <c r="E59" s="51"/>
      <c r="F59" s="51"/>
      <c r="G59" s="51"/>
      <c r="H59" s="71" t="s">
        <v>0</v>
      </c>
    </row>
    <row r="60" spans="1:8" ht="15">
      <c r="A60" s="51"/>
      <c r="B60" s="51"/>
      <c r="C60" s="51"/>
      <c r="D60" s="51"/>
      <c r="E60" s="51"/>
      <c r="F60" s="51"/>
      <c r="G60" s="51"/>
      <c r="H60" s="71" t="s">
        <v>0</v>
      </c>
    </row>
    <row r="61" spans="1:8" ht="15">
      <c r="A61" s="51"/>
      <c r="B61" s="51"/>
      <c r="C61" s="51"/>
      <c r="D61" s="51"/>
      <c r="E61" s="51"/>
      <c r="F61" s="51"/>
      <c r="G61" s="51"/>
      <c r="H61" s="71" t="s">
        <v>0</v>
      </c>
    </row>
    <row r="62" spans="1:8" ht="15">
      <c r="A62" s="51"/>
      <c r="B62" s="51"/>
      <c r="C62" s="51"/>
      <c r="D62" s="51"/>
      <c r="E62" s="51"/>
      <c r="F62" s="51"/>
      <c r="G62" s="51"/>
      <c r="H62" s="71" t="s">
        <v>0</v>
      </c>
    </row>
    <row r="63" spans="3:8" ht="31.5">
      <c r="C63" s="157" t="s">
        <v>451</v>
      </c>
      <c r="D63" s="158" t="s">
        <v>89</v>
      </c>
      <c r="E63" s="158"/>
      <c r="F63" s="245" t="s">
        <v>331</v>
      </c>
      <c r="G63" s="159"/>
      <c r="H63" s="71" t="s">
        <v>0</v>
      </c>
    </row>
    <row r="64" spans="3:8" ht="45">
      <c r="C64" s="92"/>
      <c r="D64" s="36" t="s">
        <v>91</v>
      </c>
      <c r="E64" s="93"/>
      <c r="F64" s="36" t="s">
        <v>91</v>
      </c>
      <c r="G64" s="124" t="s">
        <v>206</v>
      </c>
      <c r="H64" s="71" t="s">
        <v>0</v>
      </c>
    </row>
    <row r="65" spans="3:8" ht="15">
      <c r="C65" s="2" t="s">
        <v>32</v>
      </c>
      <c r="D65" s="94"/>
      <c r="E65" s="95"/>
      <c r="F65" s="94"/>
      <c r="G65" s="409"/>
      <c r="H65" s="71" t="s">
        <v>0</v>
      </c>
    </row>
    <row r="66" spans="1:8" ht="15">
      <c r="A66" s="61"/>
      <c r="B66" s="318" t="s">
        <v>400</v>
      </c>
      <c r="C66" s="96" t="s">
        <v>27</v>
      </c>
      <c r="D66" s="114">
        <f>SUM(D67:D68)</f>
        <v>0</v>
      </c>
      <c r="E66" s="79"/>
      <c r="F66" s="408">
        <f>SUM(F67:F68)</f>
        <v>0</v>
      </c>
      <c r="G66" s="115" t="str">
        <f>IF(SUM(D66)=0,"%",IF(SUM(D66)&gt;0,(SUM(F66)/SUM(D66)-1),-(SUM(F66)/SUM(D66)-1)))</f>
        <v>%</v>
      </c>
      <c r="H66" s="71" t="s">
        <v>0</v>
      </c>
    </row>
    <row r="67" spans="1:8" ht="15">
      <c r="A67" s="61"/>
      <c r="B67" s="318" t="s">
        <v>531</v>
      </c>
      <c r="C67" s="84" t="s">
        <v>263</v>
      </c>
      <c r="D67" s="116" t="s">
        <v>9</v>
      </c>
      <c r="E67" s="81"/>
      <c r="F67" s="279" t="s">
        <v>9</v>
      </c>
      <c r="G67" s="117" t="str">
        <f>IF(SUM(D67)=0,"%",IF(SUM(D67)&gt;0,(SUM(F67)/SUM(D67)-1),-(SUM(F67)/SUM(D67)-1)))</f>
        <v>%</v>
      </c>
      <c r="H67" s="71" t="s">
        <v>0</v>
      </c>
    </row>
    <row r="68" spans="1:8" ht="15">
      <c r="A68" s="61"/>
      <c r="B68" s="318" t="s">
        <v>532</v>
      </c>
      <c r="C68" s="88" t="s">
        <v>264</v>
      </c>
      <c r="D68" s="118" t="s">
        <v>9</v>
      </c>
      <c r="E68" s="83"/>
      <c r="F68" s="280" t="s">
        <v>9</v>
      </c>
      <c r="G68" s="119" t="str">
        <f aca="true" t="shared" si="1" ref="G68:G87">IF(SUM(D68)=0,"%",(SUM(F68)/SUM(D68)-1))</f>
        <v>%</v>
      </c>
      <c r="H68" s="71" t="s">
        <v>0</v>
      </c>
    </row>
    <row r="69" spans="1:8" ht="15">
      <c r="A69" s="61"/>
      <c r="B69" s="318" t="s">
        <v>401</v>
      </c>
      <c r="C69" s="97" t="s">
        <v>77</v>
      </c>
      <c r="D69" s="121" t="s">
        <v>9</v>
      </c>
      <c r="E69" s="90"/>
      <c r="F69" s="121" t="s">
        <v>9</v>
      </c>
      <c r="G69" s="119" t="str">
        <f t="shared" si="1"/>
        <v>%</v>
      </c>
      <c r="H69" s="71" t="s">
        <v>0</v>
      </c>
    </row>
    <row r="70" spans="1:8" ht="15">
      <c r="A70" s="61"/>
      <c r="B70" s="61"/>
      <c r="C70" s="97" t="s">
        <v>34</v>
      </c>
      <c r="D70" s="125">
        <f>SUM(D49)</f>
        <v>0</v>
      </c>
      <c r="E70" s="90"/>
      <c r="F70" s="125">
        <f>SUM(F49)</f>
        <v>0</v>
      </c>
      <c r="G70" s="122" t="str">
        <f t="shared" si="1"/>
        <v>%</v>
      </c>
      <c r="H70" s="71" t="s">
        <v>0</v>
      </c>
    </row>
    <row r="71" spans="1:8" ht="15">
      <c r="A71" s="61"/>
      <c r="B71" s="318" t="s">
        <v>402</v>
      </c>
      <c r="C71" s="98" t="s">
        <v>70</v>
      </c>
      <c r="D71" s="121" t="s">
        <v>9</v>
      </c>
      <c r="E71" s="90"/>
      <c r="F71" s="121" t="s">
        <v>9</v>
      </c>
      <c r="G71" s="122" t="str">
        <f t="shared" si="1"/>
        <v>%</v>
      </c>
      <c r="H71" s="71" t="s">
        <v>0</v>
      </c>
    </row>
    <row r="72" spans="1:8" ht="15">
      <c r="A72" s="61"/>
      <c r="B72" s="318" t="s">
        <v>403</v>
      </c>
      <c r="C72" s="98" t="s">
        <v>78</v>
      </c>
      <c r="D72" s="121" t="s">
        <v>9</v>
      </c>
      <c r="E72" s="90"/>
      <c r="F72" s="121" t="s">
        <v>9</v>
      </c>
      <c r="G72" s="122" t="str">
        <f t="shared" si="1"/>
        <v>%</v>
      </c>
      <c r="H72" s="71" t="s">
        <v>0</v>
      </c>
    </row>
    <row r="73" spans="1:8" ht="15">
      <c r="A73" s="61"/>
      <c r="B73" s="318" t="s">
        <v>404</v>
      </c>
      <c r="C73" s="98" t="s">
        <v>41</v>
      </c>
      <c r="D73" s="121" t="s">
        <v>9</v>
      </c>
      <c r="E73" s="90"/>
      <c r="F73" s="121" t="s">
        <v>9</v>
      </c>
      <c r="G73" s="122" t="str">
        <f t="shared" si="1"/>
        <v>%</v>
      </c>
      <c r="H73" s="71" t="s">
        <v>0</v>
      </c>
    </row>
    <row r="74" spans="1:8" ht="15">
      <c r="A74" s="61"/>
      <c r="B74" s="318" t="s">
        <v>403</v>
      </c>
      <c r="C74" s="99" t="s">
        <v>43</v>
      </c>
      <c r="D74" s="120">
        <f>SUM(D75:D79)+SUM(D84:D86)</f>
        <v>0</v>
      </c>
      <c r="E74" s="81"/>
      <c r="F74" s="120">
        <f>SUM(F75:F79)+SUM(F84:F86)</f>
        <v>0</v>
      </c>
      <c r="G74" s="117" t="str">
        <f t="shared" si="1"/>
        <v>%</v>
      </c>
      <c r="H74" s="71" t="s">
        <v>0</v>
      </c>
    </row>
    <row r="75" spans="1:8" ht="15">
      <c r="A75" s="61"/>
      <c r="B75" s="318" t="s">
        <v>399</v>
      </c>
      <c r="C75" s="80" t="s">
        <v>44</v>
      </c>
      <c r="D75" s="116" t="s">
        <v>9</v>
      </c>
      <c r="E75" s="81"/>
      <c r="F75" s="116" t="s">
        <v>9</v>
      </c>
      <c r="G75" s="117" t="str">
        <f t="shared" si="1"/>
        <v>%</v>
      </c>
      <c r="H75" s="71" t="s">
        <v>0</v>
      </c>
    </row>
    <row r="76" spans="1:8" ht="15">
      <c r="A76" s="61"/>
      <c r="B76" s="61"/>
      <c r="C76" s="80" t="s">
        <v>45</v>
      </c>
      <c r="D76" s="116" t="s">
        <v>9</v>
      </c>
      <c r="E76" s="81"/>
      <c r="F76" s="116" t="s">
        <v>9</v>
      </c>
      <c r="G76" s="117" t="str">
        <f t="shared" si="1"/>
        <v>%</v>
      </c>
      <c r="H76" s="71" t="s">
        <v>0</v>
      </c>
    </row>
    <row r="77" spans="1:8" ht="15">
      <c r="A77" s="61"/>
      <c r="B77" s="61"/>
      <c r="C77" s="80" t="s">
        <v>46</v>
      </c>
      <c r="D77" s="116" t="s">
        <v>9</v>
      </c>
      <c r="E77" s="81"/>
      <c r="F77" s="116" t="s">
        <v>9</v>
      </c>
      <c r="G77" s="117" t="str">
        <f t="shared" si="1"/>
        <v>%</v>
      </c>
      <c r="H77" s="71" t="s">
        <v>0</v>
      </c>
    </row>
    <row r="78" spans="1:8" ht="15">
      <c r="A78" s="61"/>
      <c r="B78" s="61"/>
      <c r="C78" s="80" t="s">
        <v>47</v>
      </c>
      <c r="D78" s="116" t="s">
        <v>9</v>
      </c>
      <c r="E78" s="81"/>
      <c r="F78" s="116" t="s">
        <v>9</v>
      </c>
      <c r="G78" s="117" t="str">
        <f t="shared" si="1"/>
        <v>%</v>
      </c>
      <c r="H78" s="71" t="s">
        <v>0</v>
      </c>
    </row>
    <row r="79" spans="1:8" ht="15">
      <c r="A79" s="61"/>
      <c r="B79" s="61"/>
      <c r="C79" s="80" t="s">
        <v>71</v>
      </c>
      <c r="D79" s="120">
        <f>SUM(D80,D81,D83)</f>
        <v>0</v>
      </c>
      <c r="E79" s="81"/>
      <c r="F79" s="120">
        <f>SUM(F80,F81,F83)</f>
        <v>0</v>
      </c>
      <c r="G79" s="117" t="str">
        <f t="shared" si="1"/>
        <v>%</v>
      </c>
      <c r="H79" s="71" t="s">
        <v>0</v>
      </c>
    </row>
    <row r="80" spans="1:8" ht="15">
      <c r="A80" s="61"/>
      <c r="B80" s="61"/>
      <c r="C80" s="100" t="s">
        <v>48</v>
      </c>
      <c r="D80" s="116" t="s">
        <v>9</v>
      </c>
      <c r="E80" s="81"/>
      <c r="F80" s="116" t="s">
        <v>9</v>
      </c>
      <c r="G80" s="117" t="str">
        <f t="shared" si="1"/>
        <v>%</v>
      </c>
      <c r="H80" s="71" t="s">
        <v>0</v>
      </c>
    </row>
    <row r="81" spans="1:8" ht="15">
      <c r="A81" s="61"/>
      <c r="B81" s="61"/>
      <c r="C81" s="100" t="s">
        <v>49</v>
      </c>
      <c r="D81" s="116" t="s">
        <v>9</v>
      </c>
      <c r="E81" s="81"/>
      <c r="F81" s="116" t="s">
        <v>9</v>
      </c>
      <c r="G81" s="117" t="str">
        <f t="shared" si="1"/>
        <v>%</v>
      </c>
      <c r="H81" s="71" t="s">
        <v>0</v>
      </c>
    </row>
    <row r="82" spans="1:8" ht="15">
      <c r="A82" s="61"/>
      <c r="B82" s="61"/>
      <c r="C82" s="35" t="s">
        <v>50</v>
      </c>
      <c r="D82" s="116" t="s">
        <v>9</v>
      </c>
      <c r="E82" s="81"/>
      <c r="F82" s="116" t="s">
        <v>9</v>
      </c>
      <c r="G82" s="117" t="str">
        <f t="shared" si="1"/>
        <v>%</v>
      </c>
      <c r="H82" s="71" t="s">
        <v>0</v>
      </c>
    </row>
    <row r="83" spans="1:8" ht="15">
      <c r="A83" s="61"/>
      <c r="B83" s="61"/>
      <c r="C83" s="100" t="s">
        <v>72</v>
      </c>
      <c r="D83" s="116" t="s">
        <v>9</v>
      </c>
      <c r="E83" s="81"/>
      <c r="F83" s="116" t="s">
        <v>9</v>
      </c>
      <c r="G83" s="117" t="str">
        <f t="shared" si="1"/>
        <v>%</v>
      </c>
      <c r="H83" s="71" t="s">
        <v>0</v>
      </c>
    </row>
    <row r="84" spans="1:8" ht="15">
      <c r="A84" s="61"/>
      <c r="B84" s="61"/>
      <c r="C84" s="80" t="s">
        <v>51</v>
      </c>
      <c r="D84" s="116" t="s">
        <v>9</v>
      </c>
      <c r="E84" s="81"/>
      <c r="F84" s="116" t="s">
        <v>9</v>
      </c>
      <c r="G84" s="117" t="str">
        <f t="shared" si="1"/>
        <v>%</v>
      </c>
      <c r="H84" s="71" t="s">
        <v>0</v>
      </c>
    </row>
    <row r="85" spans="1:8" ht="15">
      <c r="A85" s="61"/>
      <c r="B85" s="61"/>
      <c r="C85" s="80" t="s">
        <v>53</v>
      </c>
      <c r="D85" s="116" t="s">
        <v>9</v>
      </c>
      <c r="E85" s="81"/>
      <c r="F85" s="116" t="s">
        <v>9</v>
      </c>
      <c r="G85" s="117" t="str">
        <f t="shared" si="1"/>
        <v>%</v>
      </c>
      <c r="H85" s="71" t="s">
        <v>0</v>
      </c>
    </row>
    <row r="86" spans="1:8" ht="15">
      <c r="A86" s="61"/>
      <c r="B86" s="61"/>
      <c r="C86" s="80" t="s">
        <v>55</v>
      </c>
      <c r="D86" s="116" t="s">
        <v>9</v>
      </c>
      <c r="E86" s="81"/>
      <c r="F86" s="116" t="s">
        <v>9</v>
      </c>
      <c r="G86" s="117" t="str">
        <f t="shared" si="1"/>
        <v>%</v>
      </c>
      <c r="H86" s="71" t="s">
        <v>0</v>
      </c>
    </row>
    <row r="87" spans="1:8" ht="15">
      <c r="A87" s="61"/>
      <c r="B87" s="61"/>
      <c r="C87" s="6" t="s">
        <v>29</v>
      </c>
      <c r="D87" s="123">
        <f>SUM(D66,D69,D70,D71,D72,D73,D74)</f>
        <v>0</v>
      </c>
      <c r="E87" s="83"/>
      <c r="F87" s="123">
        <f>SUM(F66,F69,F70,F71,F72,F73,F74)</f>
        <v>0</v>
      </c>
      <c r="G87" s="122" t="str">
        <f t="shared" si="1"/>
        <v>%</v>
      </c>
      <c r="H87" s="71" t="s">
        <v>0</v>
      </c>
    </row>
    <row r="88" spans="1:8" ht="15">
      <c r="A88" s="61"/>
      <c r="B88" s="61"/>
      <c r="C88" s="2" t="s">
        <v>33</v>
      </c>
      <c r="D88" s="94"/>
      <c r="E88" s="95"/>
      <c r="F88" s="94"/>
      <c r="G88" s="94"/>
      <c r="H88" s="71" t="s">
        <v>0</v>
      </c>
    </row>
    <row r="89" spans="1:8" ht="15">
      <c r="A89" s="61"/>
      <c r="B89" s="318" t="s">
        <v>533</v>
      </c>
      <c r="C89" s="101" t="s">
        <v>37</v>
      </c>
      <c r="D89" s="126">
        <f>SUM(D104)-SUM(D90)-SUM(D91)-SUM(D98)-SUM(D99)-SUM(D100)</f>
        <v>0</v>
      </c>
      <c r="E89" s="414">
        <f>IF(D89&lt;0,"ALERT: EAL &lt; 0","")</f>
      </c>
      <c r="F89" s="126">
        <f>SUM(F104)-SUM(F90)-SUM(F91)-SUM(F98)-SUM(F99)-SUM(F100)</f>
        <v>0</v>
      </c>
      <c r="G89" s="414">
        <f>IF(F89&lt;0,"ALERT: EAL &lt; 0","")</f>
      </c>
      <c r="H89" s="71" t="s">
        <v>0</v>
      </c>
    </row>
    <row r="90" spans="1:8" ht="15">
      <c r="A90" s="61"/>
      <c r="B90" s="318" t="s">
        <v>405</v>
      </c>
      <c r="C90" s="101" t="s">
        <v>38</v>
      </c>
      <c r="D90" s="127" t="s">
        <v>9</v>
      </c>
      <c r="E90" s="416"/>
      <c r="F90" s="127" t="s">
        <v>9</v>
      </c>
      <c r="G90" s="115" t="str">
        <f>IF(SUM(D90)=0,"%",(SUM(F90)/SUM(D90)-1))</f>
        <v>%</v>
      </c>
      <c r="H90" s="71" t="s">
        <v>0</v>
      </c>
    </row>
    <row r="91" spans="1:8" ht="15">
      <c r="A91" s="61"/>
      <c r="B91" s="318" t="s">
        <v>406</v>
      </c>
      <c r="C91" s="96" t="s">
        <v>83</v>
      </c>
      <c r="D91" s="128">
        <f>SUM(D92,D93,D95,D96,D97)</f>
        <v>0</v>
      </c>
      <c r="E91" s="79"/>
      <c r="F91" s="407">
        <f>SUM(F92,F93,F95,F96,F97)</f>
        <v>0</v>
      </c>
      <c r="G91" s="115" t="str">
        <f aca="true" t="shared" si="2" ref="G91:G104">IF(SUM(D91)=0,"%",(SUM(F91)/SUM(D91)-1))</f>
        <v>%</v>
      </c>
      <c r="H91" s="71" t="s">
        <v>0</v>
      </c>
    </row>
    <row r="92" spans="1:8" ht="15">
      <c r="A92" s="61"/>
      <c r="B92" s="61"/>
      <c r="C92" s="84" t="s">
        <v>213</v>
      </c>
      <c r="D92" s="418" t="s">
        <v>9</v>
      </c>
      <c r="E92" s="81"/>
      <c r="F92" s="421" t="s">
        <v>9</v>
      </c>
      <c r="G92" s="117" t="str">
        <f t="shared" si="2"/>
        <v>%</v>
      </c>
      <c r="H92" s="71" t="s">
        <v>0</v>
      </c>
    </row>
    <row r="93" spans="1:8" ht="15">
      <c r="A93" s="61"/>
      <c r="B93" s="318" t="s">
        <v>407</v>
      </c>
      <c r="C93" s="84" t="s">
        <v>265</v>
      </c>
      <c r="D93" s="331" t="s">
        <v>9</v>
      </c>
      <c r="E93" s="81"/>
      <c r="F93" s="279" t="s">
        <v>9</v>
      </c>
      <c r="G93" s="117" t="str">
        <f t="shared" si="2"/>
        <v>%</v>
      </c>
      <c r="H93" s="71" t="s">
        <v>0</v>
      </c>
    </row>
    <row r="94" spans="1:8" ht="15">
      <c r="A94" s="61"/>
      <c r="B94" s="318" t="s">
        <v>408</v>
      </c>
      <c r="C94" s="37" t="s">
        <v>94</v>
      </c>
      <c r="D94" s="331" t="s">
        <v>9</v>
      </c>
      <c r="E94" s="81"/>
      <c r="F94" s="279" t="s">
        <v>9</v>
      </c>
      <c r="G94" s="117" t="str">
        <f>IF(SUM(D94)=0,"%",IF(SUM(D94)&gt;0,(SUM(F94)/SUM(D94)-1),-(SUM(F94)/SUM(D94)-1)))</f>
        <v>%</v>
      </c>
      <c r="H94" s="71" t="s">
        <v>0</v>
      </c>
    </row>
    <row r="95" spans="1:8" ht="15">
      <c r="A95" s="61"/>
      <c r="B95" s="318" t="s">
        <v>407</v>
      </c>
      <c r="C95" s="84" t="s">
        <v>266</v>
      </c>
      <c r="D95" s="116" t="s">
        <v>9</v>
      </c>
      <c r="E95" s="81"/>
      <c r="F95" s="279" t="s">
        <v>9</v>
      </c>
      <c r="G95" s="117" t="str">
        <f t="shared" si="2"/>
        <v>%</v>
      </c>
      <c r="H95" s="71" t="s">
        <v>0</v>
      </c>
    </row>
    <row r="96" spans="1:8" ht="15">
      <c r="A96" s="61"/>
      <c r="B96" s="318" t="s">
        <v>409</v>
      </c>
      <c r="C96" s="84" t="s">
        <v>267</v>
      </c>
      <c r="D96" s="116" t="s">
        <v>9</v>
      </c>
      <c r="E96" s="81"/>
      <c r="F96" s="279" t="s">
        <v>9</v>
      </c>
      <c r="G96" s="117" t="str">
        <f>IF(SUM(D96)=0,"%",IF(SUM(D96)&gt;0,(SUM(F96)/SUM(D96)-1),-(SUM(F96)/SUM(D96)-1)))</f>
        <v>%</v>
      </c>
      <c r="H96" s="71" t="s">
        <v>0</v>
      </c>
    </row>
    <row r="97" spans="1:8" ht="15">
      <c r="A97" s="61"/>
      <c r="B97" s="318" t="s">
        <v>410</v>
      </c>
      <c r="C97" s="88" t="s">
        <v>268</v>
      </c>
      <c r="D97" s="118" t="s">
        <v>9</v>
      </c>
      <c r="E97" s="83"/>
      <c r="F97" s="280" t="s">
        <v>9</v>
      </c>
      <c r="G97" s="119" t="str">
        <f>IF(SUM(D97)=0,"%",IF(SUM(D97)&gt;0,(SUM(F97)/SUM(D97)-1),-(SUM(F97)/SUM(D97)-1)))</f>
        <v>%</v>
      </c>
      <c r="H97" s="71" t="s">
        <v>0</v>
      </c>
    </row>
    <row r="98" spans="1:8" ht="15">
      <c r="A98" s="61"/>
      <c r="B98" s="61"/>
      <c r="C98" s="98" t="s">
        <v>84</v>
      </c>
      <c r="D98" s="125">
        <f>SUM(D72)</f>
        <v>0</v>
      </c>
      <c r="E98" s="90"/>
      <c r="F98" s="125">
        <f>SUM(F72)</f>
        <v>0</v>
      </c>
      <c r="G98" s="119" t="str">
        <f t="shared" si="2"/>
        <v>%</v>
      </c>
      <c r="H98" s="71" t="s">
        <v>0</v>
      </c>
    </row>
    <row r="99" spans="1:8" ht="15">
      <c r="A99" s="61"/>
      <c r="B99" s="318" t="s">
        <v>404</v>
      </c>
      <c r="C99" s="98" t="s">
        <v>42</v>
      </c>
      <c r="D99" s="121" t="s">
        <v>9</v>
      </c>
      <c r="E99" s="90"/>
      <c r="F99" s="121" t="s">
        <v>9</v>
      </c>
      <c r="G99" s="122" t="str">
        <f t="shared" si="2"/>
        <v>%</v>
      </c>
      <c r="H99" s="71" t="s">
        <v>0</v>
      </c>
    </row>
    <row r="100" spans="1:8" ht="15">
      <c r="A100" s="61"/>
      <c r="B100" s="318" t="s">
        <v>403</v>
      </c>
      <c r="C100" s="99" t="s">
        <v>85</v>
      </c>
      <c r="D100" s="120">
        <f>SUM(D101:D103)</f>
        <v>0</v>
      </c>
      <c r="E100" s="81"/>
      <c r="F100" s="120">
        <f>SUM(F101:F103)</f>
        <v>0</v>
      </c>
      <c r="G100" s="117" t="str">
        <f t="shared" si="2"/>
        <v>%</v>
      </c>
      <c r="H100" s="71" t="s">
        <v>0</v>
      </c>
    </row>
    <row r="101" spans="1:8" ht="15">
      <c r="A101" s="61"/>
      <c r="B101" s="61"/>
      <c r="C101" s="80" t="s">
        <v>52</v>
      </c>
      <c r="D101" s="116" t="s">
        <v>9</v>
      </c>
      <c r="E101" s="81"/>
      <c r="F101" s="116" t="s">
        <v>9</v>
      </c>
      <c r="G101" s="117" t="str">
        <f t="shared" si="2"/>
        <v>%</v>
      </c>
      <c r="H101" s="71" t="s">
        <v>0</v>
      </c>
    </row>
    <row r="102" spans="1:8" ht="15">
      <c r="A102" s="61"/>
      <c r="B102" s="61"/>
      <c r="C102" s="80" t="s">
        <v>54</v>
      </c>
      <c r="D102" s="116" t="s">
        <v>9</v>
      </c>
      <c r="E102" s="81"/>
      <c r="F102" s="116" t="s">
        <v>9</v>
      </c>
      <c r="G102" s="117" t="str">
        <f t="shared" si="2"/>
        <v>%</v>
      </c>
      <c r="H102" s="71" t="s">
        <v>0</v>
      </c>
    </row>
    <row r="103" spans="1:8" ht="15">
      <c r="A103" s="61"/>
      <c r="B103" s="61"/>
      <c r="C103" s="80" t="s">
        <v>56</v>
      </c>
      <c r="D103" s="116" t="s">
        <v>9</v>
      </c>
      <c r="E103" s="81"/>
      <c r="F103" s="116" t="s">
        <v>9</v>
      </c>
      <c r="G103" s="117" t="str">
        <f t="shared" si="2"/>
        <v>%</v>
      </c>
      <c r="H103" s="71" t="s">
        <v>0</v>
      </c>
    </row>
    <row r="104" spans="3:8" ht="15">
      <c r="C104" s="7" t="s">
        <v>26</v>
      </c>
      <c r="D104" s="125">
        <f>SUM(D87)</f>
        <v>0</v>
      </c>
      <c r="E104" s="416"/>
      <c r="F104" s="125">
        <f>SUM(F87)</f>
        <v>0</v>
      </c>
      <c r="G104" s="122" t="str">
        <f t="shared" si="2"/>
        <v>%</v>
      </c>
      <c r="H104" s="71" t="s">
        <v>0</v>
      </c>
    </row>
    <row r="105" ht="15">
      <c r="H105" s="71" t="s">
        <v>0</v>
      </c>
    </row>
    <row r="106" spans="1:8" ht="15">
      <c r="A106" s="51"/>
      <c r="B106" s="51"/>
      <c r="C106" s="387" t="s">
        <v>518</v>
      </c>
      <c r="D106" s="419" t="s">
        <v>9</v>
      </c>
      <c r="E106" s="51"/>
      <c r="F106" s="51"/>
      <c r="G106" s="51"/>
      <c r="H106" s="71" t="s">
        <v>0</v>
      </c>
    </row>
    <row r="107" spans="1:8" ht="15">
      <c r="A107" s="51"/>
      <c r="B107" s="51"/>
      <c r="C107" s="51"/>
      <c r="D107" s="51"/>
      <c r="E107" s="51"/>
      <c r="F107" s="51"/>
      <c r="G107" s="51"/>
      <c r="H107" s="71" t="s">
        <v>0</v>
      </c>
    </row>
    <row r="108" spans="1:8" ht="15">
      <c r="A108" s="51"/>
      <c r="B108" s="51"/>
      <c r="C108" s="51"/>
      <c r="D108" s="51"/>
      <c r="E108" s="51"/>
      <c r="F108" s="51"/>
      <c r="G108" s="51"/>
      <c r="H108" s="71" t="s">
        <v>0</v>
      </c>
    </row>
    <row r="109" spans="1:8" ht="15">
      <c r="A109" s="51"/>
      <c r="B109" s="51"/>
      <c r="C109" s="51"/>
      <c r="D109" s="51"/>
      <c r="E109" s="51"/>
      <c r="F109" s="51"/>
      <c r="G109" s="51"/>
      <c r="H109" s="71" t="s">
        <v>0</v>
      </c>
    </row>
    <row r="110" spans="3:8" ht="31.5">
      <c r="C110" s="157" t="s">
        <v>452</v>
      </c>
      <c r="D110" s="158" t="s">
        <v>89</v>
      </c>
      <c r="E110" s="158"/>
      <c r="F110" s="245" t="s">
        <v>331</v>
      </c>
      <c r="G110" s="159"/>
      <c r="H110" s="71" t="s">
        <v>0</v>
      </c>
    </row>
    <row r="111" spans="3:8" ht="45">
      <c r="C111" s="92"/>
      <c r="D111" s="31" t="s">
        <v>91</v>
      </c>
      <c r="E111" s="81"/>
      <c r="F111" s="31" t="s">
        <v>91</v>
      </c>
      <c r="G111" s="129" t="s">
        <v>206</v>
      </c>
      <c r="H111" s="71" t="s">
        <v>0</v>
      </c>
    </row>
    <row r="112" spans="3:8" ht="15">
      <c r="C112" s="2" t="s">
        <v>32</v>
      </c>
      <c r="D112" s="102"/>
      <c r="E112" s="103"/>
      <c r="F112" s="102"/>
      <c r="G112" s="102"/>
      <c r="H112" s="71" t="s">
        <v>0</v>
      </c>
    </row>
    <row r="113" spans="3:8" ht="15">
      <c r="C113" s="104" t="s">
        <v>80</v>
      </c>
      <c r="D113" s="130" t="s">
        <v>9</v>
      </c>
      <c r="E113" s="81"/>
      <c r="F113" s="130" t="s">
        <v>9</v>
      </c>
      <c r="G113" s="115" t="str">
        <f>IF(SUM(D113)=0,"%",(SUM(F113)/SUM(D113)-1))</f>
        <v>%</v>
      </c>
      <c r="H113" s="71" t="s">
        <v>0</v>
      </c>
    </row>
    <row r="114" spans="3:8" ht="15">
      <c r="C114" s="260" t="s">
        <v>304</v>
      </c>
      <c r="D114" s="116" t="s">
        <v>9</v>
      </c>
      <c r="E114" s="81"/>
      <c r="F114" s="116" t="s">
        <v>9</v>
      </c>
      <c r="G114" s="117" t="str">
        <f>IF(SUM(D114)=0,"%",(SUM(F114)/SUM(D114)-1))</f>
        <v>%</v>
      </c>
      <c r="H114" s="71" t="s">
        <v>0</v>
      </c>
    </row>
    <row r="115" spans="1:8" ht="15">
      <c r="A115" s="51"/>
      <c r="B115" s="51"/>
      <c r="C115" s="260" t="s">
        <v>305</v>
      </c>
      <c r="D115" s="265" t="s">
        <v>9</v>
      </c>
      <c r="E115" s="81"/>
      <c r="F115" s="265" t="s">
        <v>9</v>
      </c>
      <c r="G115" s="117" t="str">
        <f>IF(SUM(D115)=0,"%",(SUM(F115)/SUM(D115)-1))</f>
        <v>%</v>
      </c>
      <c r="H115" s="71"/>
    </row>
    <row r="116" spans="3:8" ht="15">
      <c r="C116" s="105" t="s">
        <v>28</v>
      </c>
      <c r="D116" s="116" t="s">
        <v>9</v>
      </c>
      <c r="E116" s="81"/>
      <c r="F116" s="116" t="s">
        <v>9</v>
      </c>
      <c r="G116" s="117" t="str">
        <f>IF(SUM(D116)=0,"%",(SUM(F116)/SUM(D116)-1))</f>
        <v>%</v>
      </c>
      <c r="H116" s="71" t="s">
        <v>0</v>
      </c>
    </row>
    <row r="117" spans="3:8" ht="15">
      <c r="C117" s="7" t="s">
        <v>29</v>
      </c>
      <c r="D117" s="125">
        <f>SUM(D113:D116)</f>
        <v>0</v>
      </c>
      <c r="E117" s="416"/>
      <c r="F117" s="125">
        <f>SUM(F113:F116)</f>
        <v>0</v>
      </c>
      <c r="G117" s="122" t="str">
        <f>IF(SUM(D117)=0,"%",(SUM(F117)/SUM(D117)-1))</f>
        <v>%</v>
      </c>
      <c r="H117" s="71" t="s">
        <v>0</v>
      </c>
    </row>
    <row r="118" spans="3:8" ht="15">
      <c r="C118" s="2" t="s">
        <v>33</v>
      </c>
      <c r="D118" s="102"/>
      <c r="E118" s="103"/>
      <c r="F118" s="102"/>
      <c r="G118" s="102"/>
      <c r="H118" s="71" t="s">
        <v>0</v>
      </c>
    </row>
    <row r="119" spans="3:8" ht="15">
      <c r="C119" s="96" t="s">
        <v>86</v>
      </c>
      <c r="D119" s="422" t="s">
        <v>9</v>
      </c>
      <c r="E119" s="79"/>
      <c r="F119" s="422" t="s">
        <v>9</v>
      </c>
      <c r="G119" s="115" t="str">
        <f aca="true" t="shared" si="3" ref="G119:G124">IF(SUM(D119)=0,"%",(SUM(F119)/SUM(D119)-1))</f>
        <v>%</v>
      </c>
      <c r="H119" s="71" t="s">
        <v>0</v>
      </c>
    </row>
    <row r="120" spans="3:8" ht="15">
      <c r="C120" s="261" t="s">
        <v>304</v>
      </c>
      <c r="D120" s="116" t="s">
        <v>9</v>
      </c>
      <c r="E120" s="81"/>
      <c r="F120" s="116" t="s">
        <v>9</v>
      </c>
      <c r="G120" s="117" t="str">
        <f t="shared" si="3"/>
        <v>%</v>
      </c>
      <c r="H120" s="71" t="s">
        <v>0</v>
      </c>
    </row>
    <row r="121" spans="3:8" ht="15">
      <c r="C121" s="106" t="s">
        <v>87</v>
      </c>
      <c r="D121" s="120">
        <f>SUM(D119)-SUM(D120)</f>
        <v>0</v>
      </c>
      <c r="E121" s="81"/>
      <c r="F121" s="120">
        <f>SUM(F119)-SUM(F120)</f>
        <v>0</v>
      </c>
      <c r="G121" s="117" t="str">
        <f t="shared" si="3"/>
        <v>%</v>
      </c>
      <c r="H121" s="71" t="s">
        <v>0</v>
      </c>
    </row>
    <row r="122" spans="1:8" ht="15">
      <c r="A122" s="51"/>
      <c r="B122" s="51"/>
      <c r="C122" s="261" t="s">
        <v>84</v>
      </c>
      <c r="D122" s="262" t="s">
        <v>9</v>
      </c>
      <c r="E122" s="81"/>
      <c r="F122" s="262" t="s">
        <v>9</v>
      </c>
      <c r="G122" s="117" t="str">
        <f t="shared" si="3"/>
        <v>%</v>
      </c>
      <c r="H122" s="71" t="s">
        <v>0</v>
      </c>
    </row>
    <row r="123" spans="3:8" ht="15">
      <c r="C123" s="99" t="s">
        <v>85</v>
      </c>
      <c r="D123" s="116" t="s">
        <v>9</v>
      </c>
      <c r="E123" s="81"/>
      <c r="F123" s="116" t="s">
        <v>9</v>
      </c>
      <c r="G123" s="117" t="str">
        <f t="shared" si="3"/>
        <v>%</v>
      </c>
      <c r="H123" s="71" t="s">
        <v>0</v>
      </c>
    </row>
    <row r="124" spans="3:8" ht="15">
      <c r="C124" s="6" t="s">
        <v>26</v>
      </c>
      <c r="D124" s="125">
        <f>SUM(D121)+SUM(D122,D123)</f>
        <v>0</v>
      </c>
      <c r="E124" s="416"/>
      <c r="F124" s="125">
        <f>SUM(F121)+SUM(F122,F123)</f>
        <v>0</v>
      </c>
      <c r="G124" s="122" t="str">
        <f t="shared" si="3"/>
        <v>%</v>
      </c>
      <c r="H124" s="71" t="s">
        <v>0</v>
      </c>
    </row>
    <row r="125" ht="15">
      <c r="H125" s="71" t="s">
        <v>0</v>
      </c>
    </row>
    <row r="126" spans="1:8" ht="15">
      <c r="A126" s="51"/>
      <c r="B126" s="51"/>
      <c r="C126" s="387" t="s">
        <v>517</v>
      </c>
      <c r="D126" s="419" t="s">
        <v>9</v>
      </c>
      <c r="E126" s="51"/>
      <c r="F126" s="51"/>
      <c r="G126" s="51"/>
      <c r="H126" s="71" t="s">
        <v>0</v>
      </c>
    </row>
    <row r="127" spans="1:8" ht="15">
      <c r="A127" s="51"/>
      <c r="B127" s="51"/>
      <c r="C127" s="51"/>
      <c r="D127" s="51"/>
      <c r="E127" s="51"/>
      <c r="F127" s="51"/>
      <c r="G127" s="51"/>
      <c r="H127" s="71" t="s">
        <v>0</v>
      </c>
    </row>
    <row r="128" spans="1:8" ht="15">
      <c r="A128" s="51"/>
      <c r="B128" s="51"/>
      <c r="C128" s="51"/>
      <c r="D128" s="51"/>
      <c r="E128" s="51"/>
      <c r="F128" s="51"/>
      <c r="G128" s="51"/>
      <c r="H128" s="71" t="s">
        <v>0</v>
      </c>
    </row>
    <row r="129" spans="1:8" ht="15">
      <c r="A129" s="51"/>
      <c r="B129" s="51"/>
      <c r="C129" s="51"/>
      <c r="D129" s="51"/>
      <c r="E129" s="51"/>
      <c r="F129" s="51"/>
      <c r="G129" s="51"/>
      <c r="H129" s="71" t="s">
        <v>0</v>
      </c>
    </row>
    <row r="130" spans="3:8" ht="15.75">
      <c r="C130" s="157" t="s">
        <v>454</v>
      </c>
      <c r="D130" s="160"/>
      <c r="H130" s="71" t="s">
        <v>0</v>
      </c>
    </row>
    <row r="131" spans="2:8" ht="15">
      <c r="B131" s="318" t="s">
        <v>534</v>
      </c>
      <c r="C131" s="101" t="s">
        <v>31</v>
      </c>
      <c r="D131" s="118" t="s">
        <v>9</v>
      </c>
      <c r="H131" s="71" t="s">
        <v>0</v>
      </c>
    </row>
    <row r="132" ht="15">
      <c r="H132" s="71" t="s">
        <v>0</v>
      </c>
    </row>
    <row r="133" spans="1:8" ht="15">
      <c r="A133" s="51"/>
      <c r="B133" s="51"/>
      <c r="C133" s="51"/>
      <c r="D133" s="51"/>
      <c r="E133" s="51"/>
      <c r="F133" s="51"/>
      <c r="G133" s="51"/>
      <c r="H133" s="71" t="s">
        <v>0</v>
      </c>
    </row>
    <row r="134" spans="1:8" ht="15">
      <c r="A134" s="51"/>
      <c r="B134" s="51"/>
      <c r="C134" s="51"/>
      <c r="D134" s="51"/>
      <c r="E134" s="51"/>
      <c r="F134" s="51"/>
      <c r="G134" s="51"/>
      <c r="H134" s="71" t="s">
        <v>0</v>
      </c>
    </row>
    <row r="135" spans="3:8" ht="31.5">
      <c r="C135" s="157" t="s">
        <v>455</v>
      </c>
      <c r="D135" s="158" t="s">
        <v>89</v>
      </c>
      <c r="E135" s="158"/>
      <c r="F135" s="245" t="s">
        <v>331</v>
      </c>
      <c r="G135" s="159"/>
      <c r="H135" s="71" t="s">
        <v>0</v>
      </c>
    </row>
    <row r="136" spans="3:8" ht="15">
      <c r="C136" s="107"/>
      <c r="D136" s="29" t="s">
        <v>91</v>
      </c>
      <c r="E136" s="108"/>
      <c r="F136" s="29" t="s">
        <v>91</v>
      </c>
      <c r="G136" s="131"/>
      <c r="H136" s="71" t="s">
        <v>0</v>
      </c>
    </row>
    <row r="137" spans="3:8" ht="15">
      <c r="C137" s="10" t="s">
        <v>117</v>
      </c>
      <c r="D137" s="422" t="s">
        <v>9</v>
      </c>
      <c r="E137" s="426">
        <f>IF(AND(D137&lt;&gt;"-",D137&lt;D121),"ALERT: &lt; NET TP","")</f>
      </c>
      <c r="F137" s="422" t="s">
        <v>9</v>
      </c>
      <c r="G137" s="415">
        <f>IF(AND(F137&lt;&gt;"-",F137&lt;F121),"ALERT: &lt; NET TP","")</f>
      </c>
      <c r="H137" s="71" t="s">
        <v>0</v>
      </c>
    </row>
    <row r="138" spans="3:8" ht="15">
      <c r="C138" s="109" t="s">
        <v>118</v>
      </c>
      <c r="D138" s="120">
        <f>SUM(D117)</f>
        <v>0</v>
      </c>
      <c r="E138" s="427"/>
      <c r="F138" s="120">
        <f>SUM(F117)</f>
        <v>0</v>
      </c>
      <c r="G138" s="236"/>
      <c r="H138" s="71" t="s">
        <v>0</v>
      </c>
    </row>
    <row r="139" spans="3:8" ht="15">
      <c r="C139" s="9" t="s">
        <v>88</v>
      </c>
      <c r="D139" s="132">
        <f>SUM(D138)-SUM(D137)</f>
        <v>0</v>
      </c>
      <c r="E139" s="428"/>
      <c r="F139" s="132">
        <f>SUM(F138)-SUM(F137)</f>
        <v>0</v>
      </c>
      <c r="G139" s="236"/>
      <c r="H139" s="71" t="s">
        <v>0</v>
      </c>
    </row>
    <row r="140" spans="3:8" ht="15">
      <c r="C140" s="10" t="s">
        <v>119</v>
      </c>
      <c r="D140" s="422" t="s">
        <v>9</v>
      </c>
      <c r="E140" s="415">
        <f>IF(AND(D140&lt;&gt;"-",D140&lt;D121),"ALERT: &lt; NET TP","")</f>
      </c>
      <c r="F140" s="422" t="s">
        <v>9</v>
      </c>
      <c r="G140" s="415">
        <f>IF(AND(F140&lt;&gt;"-",F140&lt;F121),"ALERT: &lt; NET TP","")</f>
      </c>
      <c r="H140" s="71" t="s">
        <v>0</v>
      </c>
    </row>
    <row r="141" spans="3:8" ht="15">
      <c r="C141" s="109" t="s">
        <v>118</v>
      </c>
      <c r="D141" s="120" t="str">
        <f>IF(D140&lt;&gt;"-",SUM(D117),"-")</f>
        <v>-</v>
      </c>
      <c r="E141" s="415">
        <f>IF(AND(D140&lt;&gt;"-",D140&gt;SUM(D137)),"ALERT: D140 &gt; D137","")</f>
      </c>
      <c r="F141" s="120" t="str">
        <f>IF(F140&lt;&gt;"-",SUM(F117),"-")</f>
        <v>-</v>
      </c>
      <c r="G141" s="415">
        <f>IF(AND(F140&lt;&gt;"-",F140&gt;SUM(F137)),"ALERT: F140 &gt; F137","")</f>
      </c>
      <c r="H141" s="71" t="s">
        <v>0</v>
      </c>
    </row>
    <row r="142" spans="3:8" ht="15">
      <c r="C142" s="9" t="s">
        <v>30</v>
      </c>
      <c r="D142" s="133" t="str">
        <f>IF(D140&lt;&gt;"-",SUM(D141)-SUM(D140),"-")</f>
        <v>-</v>
      </c>
      <c r="F142" s="133" t="str">
        <f>IF(F140&lt;&gt;"-",SUM(F141)-SUM(F140),"-")</f>
        <v>-</v>
      </c>
      <c r="H142" s="71" t="s">
        <v>0</v>
      </c>
    </row>
    <row r="143" spans="1:8" ht="15">
      <c r="A143" s="71" t="s">
        <v>0</v>
      </c>
      <c r="B143" s="71" t="s">
        <v>0</v>
      </c>
      <c r="C143" s="71" t="s">
        <v>0</v>
      </c>
      <c r="D143" s="71" t="s">
        <v>0</v>
      </c>
      <c r="E143" s="71" t="s">
        <v>0</v>
      </c>
      <c r="F143" s="71" t="s">
        <v>0</v>
      </c>
      <c r="G143" s="71" t="s">
        <v>0</v>
      </c>
      <c r="H143" s="71" t="s">
        <v>0</v>
      </c>
    </row>
  </sheetData>
  <sheetProtection/>
  <printOptions/>
  <pageMargins left="0.7" right="0.7" top="0.75" bottom="0.75" header="0.3" footer="0.3"/>
  <pageSetup fitToHeight="0" fitToWidth="1" horizontalDpi="600" verticalDpi="600" orientation="landscape" paperSize="8" r:id="rId3"/>
  <headerFooter>
    <oddFooter>&amp;CStress test scenarios&amp;R&amp;P / &amp;N</oddFooter>
  </headerFooter>
  <rowBreaks count="2" manualBreakCount="2">
    <brk id="62" min="1" max="15" man="1"/>
    <brk id="109" min="1" max="15" man="1"/>
  </rowBreaks>
  <ignoredErrors>
    <ignoredError sqref="E89 E141" formula="1"/>
  </ignoredErrors>
  <legacyDrawing r:id="rId2"/>
</worksheet>
</file>

<file path=xl/worksheets/sheet5.xml><?xml version="1.0" encoding="utf-8"?>
<worksheet xmlns="http://schemas.openxmlformats.org/spreadsheetml/2006/main" xmlns:r="http://schemas.openxmlformats.org/officeDocument/2006/relationships">
  <sheetPr>
    <tabColor theme="6"/>
  </sheetPr>
  <dimension ref="A1:N51"/>
  <sheetViews>
    <sheetView zoomScalePageLayoutView="0" workbookViewId="0" topLeftCell="A1">
      <selection activeCell="A2" sqref="A2"/>
    </sheetView>
  </sheetViews>
  <sheetFormatPr defaultColWidth="8.8515625" defaultRowHeight="15"/>
  <cols>
    <col min="1" max="2" width="12.140625" style="38" customWidth="1"/>
    <col min="3" max="3" width="67.8515625" style="38" customWidth="1"/>
    <col min="4" max="4" width="12.140625" style="38" customWidth="1"/>
    <col min="5" max="6" width="14.28125" style="38" customWidth="1"/>
    <col min="7" max="7" width="12.140625" style="38" customWidth="1"/>
    <col min="8" max="9" width="14.28125" style="38" customWidth="1"/>
    <col min="10" max="10" width="4.7109375" style="38" customWidth="1"/>
    <col min="11" max="16384" width="8.8515625" style="38" customWidth="1"/>
  </cols>
  <sheetData>
    <row r="1" spans="3:10" ht="15">
      <c r="C1" s="68" t="str">
        <f>Participant!$C$1</f>
        <v>-</v>
      </c>
      <c r="D1" s="170"/>
      <c r="E1" s="170"/>
      <c r="F1" s="170"/>
      <c r="G1" s="161"/>
      <c r="H1" s="161"/>
      <c r="I1" s="70" t="str">
        <f>Version</f>
        <v>EIOPA-17-283-IORP_ST17_DB_Template-(20170518)</v>
      </c>
      <c r="J1" s="71" t="s">
        <v>0</v>
      </c>
    </row>
    <row r="2" spans="3:10" ht="18.75">
      <c r="C2" s="43" t="str">
        <f>Participant!$C$2</f>
        <v>-</v>
      </c>
      <c r="D2" s="188" t="s">
        <v>270</v>
      </c>
      <c r="E2" s="52"/>
      <c r="F2" s="52"/>
      <c r="G2" s="162"/>
      <c r="H2" s="163"/>
      <c r="I2" s="111" t="str">
        <f>Participant!$E$2</f>
        <v>2016 - - (-)</v>
      </c>
      <c r="J2" s="71" t="s">
        <v>0</v>
      </c>
    </row>
    <row r="3" ht="15">
      <c r="J3" s="71" t="s">
        <v>0</v>
      </c>
    </row>
    <row r="4" spans="9:10" ht="15">
      <c r="I4" s="393" t="str">
        <f>HYPERLINK("#'P.index'!D9","&gt;&gt; goto index")</f>
        <v>&gt;&gt; goto index</v>
      </c>
      <c r="J4" s="71" t="s">
        <v>0</v>
      </c>
    </row>
    <row r="5" ht="15" customHeight="1">
      <c r="J5" s="71" t="s">
        <v>0</v>
      </c>
    </row>
    <row r="6" spans="3:14" ht="15.75">
      <c r="C6" s="189" t="s">
        <v>270</v>
      </c>
      <c r="D6" s="190"/>
      <c r="E6" s="190" t="s">
        <v>262</v>
      </c>
      <c r="F6" s="191"/>
      <c r="G6" s="192"/>
      <c r="H6" s="193" t="s">
        <v>81</v>
      </c>
      <c r="I6" s="194"/>
      <c r="J6" s="71" t="s">
        <v>0</v>
      </c>
      <c r="K6" s="171"/>
      <c r="L6" s="172"/>
      <c r="M6" s="171"/>
      <c r="N6" s="172"/>
    </row>
    <row r="7" spans="3:14" ht="15" customHeight="1">
      <c r="C7" s="195"/>
      <c r="D7" s="196"/>
      <c r="E7" s="197"/>
      <c r="F7" s="198"/>
      <c r="G7" s="198"/>
      <c r="H7" s="198"/>
      <c r="I7" s="199"/>
      <c r="J7" s="71" t="s">
        <v>0</v>
      </c>
      <c r="K7" s="171"/>
      <c r="L7" s="171"/>
      <c r="M7" s="171"/>
      <c r="N7" s="171"/>
    </row>
    <row r="8" spans="3:14" ht="31.5">
      <c r="C8" s="200"/>
      <c r="D8" s="201"/>
      <c r="E8" s="202" t="s">
        <v>121</v>
      </c>
      <c r="F8" s="202" t="s">
        <v>330</v>
      </c>
      <c r="G8" s="202"/>
      <c r="H8" s="202" t="s">
        <v>121</v>
      </c>
      <c r="I8" s="203" t="s">
        <v>330</v>
      </c>
      <c r="J8" s="71" t="s">
        <v>0</v>
      </c>
      <c r="K8" s="173"/>
      <c r="L8" s="173"/>
      <c r="M8" s="173"/>
      <c r="N8" s="173"/>
    </row>
    <row r="9" spans="4:10" ht="15">
      <c r="D9" s="174"/>
      <c r="E9" s="175"/>
      <c r="F9" s="175"/>
      <c r="G9" s="74"/>
      <c r="H9" s="175"/>
      <c r="I9" s="175"/>
      <c r="J9" s="71" t="s">
        <v>0</v>
      </c>
    </row>
    <row r="10" spans="4:10" ht="15">
      <c r="D10" s="138"/>
      <c r="E10" s="138"/>
      <c r="F10" s="138"/>
      <c r="G10" s="138"/>
      <c r="H10" s="138"/>
      <c r="I10" s="138"/>
      <c r="J10" s="71" t="s">
        <v>0</v>
      </c>
    </row>
    <row r="11" spans="3:10" ht="15">
      <c r="C11" s="7" t="s">
        <v>32</v>
      </c>
      <c r="J11" s="71" t="s">
        <v>0</v>
      </c>
    </row>
    <row r="12" spans="3:10" ht="15">
      <c r="C12" s="104" t="s">
        <v>211</v>
      </c>
      <c r="E12" s="176">
        <f>SUM('Baseline_&amp;_Adverse_Scenario'!D70,'Baseline_&amp;_Adverse_Scenario'!D72)</f>
        <v>0</v>
      </c>
      <c r="F12" s="176">
        <f>SUM('Baseline_&amp;_Adverse_Scenario'!F70,'Baseline_&amp;_Adverse_Scenario'!F72)</f>
        <v>0</v>
      </c>
      <c r="G12" s="164"/>
      <c r="H12" s="176">
        <f>SUM('Baseline_&amp;_Adverse_Scenario'!D113,'Baseline_&amp;_Adverse_Scenario'!D115)</f>
        <v>0</v>
      </c>
      <c r="I12" s="176">
        <f>SUM('Baseline_&amp;_Adverse_Scenario'!F113,'Baseline_&amp;_Adverse_Scenario'!F115)</f>
        <v>0</v>
      </c>
      <c r="J12" s="71" t="s">
        <v>0</v>
      </c>
    </row>
    <row r="13" spans="3:10" ht="15">
      <c r="C13" s="105" t="s">
        <v>27</v>
      </c>
      <c r="E13" s="177">
        <f>SUM('Baseline_&amp;_Adverse_Scenario'!D66)</f>
        <v>0</v>
      </c>
      <c r="F13" s="177">
        <f>SUM('Baseline_&amp;_Adverse_Scenario'!F66)</f>
        <v>0</v>
      </c>
      <c r="G13" s="164"/>
      <c r="H13" s="178"/>
      <c r="I13" s="178"/>
      <c r="J13" s="71" t="s">
        <v>0</v>
      </c>
    </row>
    <row r="14" spans="3:10" ht="15">
      <c r="C14" s="105" t="s">
        <v>77</v>
      </c>
      <c r="E14" s="177">
        <f>SUM('Baseline_&amp;_Adverse_Scenario'!D69)</f>
        <v>0</v>
      </c>
      <c r="F14" s="177">
        <f>SUM('Baseline_&amp;_Adverse_Scenario'!F69)</f>
        <v>0</v>
      </c>
      <c r="G14" s="164"/>
      <c r="H14" s="179"/>
      <c r="I14" s="179"/>
      <c r="J14" s="71" t="s">
        <v>0</v>
      </c>
    </row>
    <row r="15" spans="3:10" ht="15">
      <c r="C15" s="105" t="s">
        <v>108</v>
      </c>
      <c r="E15" s="177">
        <f>SUM('Baseline_&amp;_Adverse_Scenario'!D71)</f>
        <v>0</v>
      </c>
      <c r="F15" s="177">
        <f>SUM('Baseline_&amp;_Adverse_Scenario'!F71)</f>
        <v>0</v>
      </c>
      <c r="G15" s="164"/>
      <c r="H15" s="177">
        <f>SUM('Baseline_&amp;_Adverse_Scenario'!D114)</f>
        <v>0</v>
      </c>
      <c r="I15" s="177">
        <f>SUM('Baseline_&amp;_Adverse_Scenario'!F114)</f>
        <v>0</v>
      </c>
      <c r="J15" s="71" t="s">
        <v>0</v>
      </c>
    </row>
    <row r="16" spans="3:10" ht="15">
      <c r="C16" s="105" t="s">
        <v>28</v>
      </c>
      <c r="E16" s="177">
        <f>SUM('Baseline_&amp;_Adverse_Scenario'!D73,'Baseline_&amp;_Adverse_Scenario'!D74)</f>
        <v>0</v>
      </c>
      <c r="F16" s="177">
        <f>SUM('Baseline_&amp;_Adverse_Scenario'!F73,'Baseline_&amp;_Adverse_Scenario'!F74)</f>
        <v>0</v>
      </c>
      <c r="G16" s="164"/>
      <c r="H16" s="180">
        <f>SUM('Baseline_&amp;_Adverse_Scenario'!D116)</f>
        <v>0</v>
      </c>
      <c r="I16" s="180">
        <f>SUM('Baseline_&amp;_Adverse_Scenario'!F116)</f>
        <v>0</v>
      </c>
      <c r="J16" s="71" t="s">
        <v>0</v>
      </c>
    </row>
    <row r="17" spans="3:10" ht="15">
      <c r="C17" s="9" t="s">
        <v>29</v>
      </c>
      <c r="E17" s="181">
        <f>SUM(E12:E16)</f>
        <v>0</v>
      </c>
      <c r="F17" s="181">
        <f>SUM(F12:F16)</f>
        <v>0</v>
      </c>
      <c r="G17" s="164"/>
      <c r="H17" s="181">
        <f>SUM(H12:H16)</f>
        <v>0</v>
      </c>
      <c r="I17" s="181">
        <f>SUM(I12:I16)</f>
        <v>0</v>
      </c>
      <c r="J17" s="71" t="s">
        <v>0</v>
      </c>
    </row>
    <row r="18" ht="15">
      <c r="J18" s="71" t="s">
        <v>0</v>
      </c>
    </row>
    <row r="19" spans="3:10" ht="15">
      <c r="C19" s="7" t="s">
        <v>33</v>
      </c>
      <c r="J19" s="71" t="s">
        <v>0</v>
      </c>
    </row>
    <row r="20" spans="3:10" ht="15">
      <c r="C20" s="104" t="s">
        <v>212</v>
      </c>
      <c r="E20" s="176">
        <f>SUM('Baseline_&amp;_Adverse_Scenario'!D91,'Baseline_&amp;_Adverse_Scenario'!D98)</f>
        <v>0</v>
      </c>
      <c r="F20" s="176">
        <f>SUM('Baseline_&amp;_Adverse_Scenario'!F91,'Baseline_&amp;_Adverse_Scenario'!F98)</f>
        <v>0</v>
      </c>
      <c r="G20" s="164"/>
      <c r="H20" s="176">
        <f>SUM('Baseline_&amp;_Adverse_Scenario'!D121,'Baseline_&amp;_Adverse_Scenario'!D122)</f>
        <v>0</v>
      </c>
      <c r="I20" s="176">
        <f>SUM('Baseline_&amp;_Adverse_Scenario'!F121,'Baseline_&amp;_Adverse_Scenario'!F122)</f>
        <v>0</v>
      </c>
      <c r="J20" s="71" t="s">
        <v>0</v>
      </c>
    </row>
    <row r="21" spans="3:10" ht="15">
      <c r="C21" s="165" t="s">
        <v>213</v>
      </c>
      <c r="E21" s="177">
        <f>SUM('Baseline_&amp;_Adverse_Scenario'!D92)</f>
        <v>0</v>
      </c>
      <c r="F21" s="177">
        <f>SUM('Baseline_&amp;_Adverse_Scenario'!F92)</f>
        <v>0</v>
      </c>
      <c r="G21" s="164"/>
      <c r="H21" s="178"/>
      <c r="I21" s="178"/>
      <c r="J21" s="71" t="s">
        <v>0</v>
      </c>
    </row>
    <row r="22" spans="3:10" ht="15">
      <c r="C22" s="165" t="s">
        <v>215</v>
      </c>
      <c r="E22" s="177">
        <f>SUM('Baseline_&amp;_Adverse_Scenario'!D93,'Baseline_&amp;_Adverse_Scenario'!D95,'Baseline_&amp;_Adverse_Scenario'!D98)</f>
        <v>0</v>
      </c>
      <c r="F22" s="177">
        <f>SUM('Baseline_&amp;_Adverse_Scenario'!F93,'Baseline_&amp;_Adverse_Scenario'!F95,'Baseline_&amp;_Adverse_Scenario'!F98)</f>
        <v>0</v>
      </c>
      <c r="G22" s="164"/>
      <c r="H22" s="182"/>
      <c r="I22" s="182"/>
      <c r="J22" s="71" t="s">
        <v>0</v>
      </c>
    </row>
    <row r="23" spans="3:10" ht="15">
      <c r="C23" s="165" t="s">
        <v>214</v>
      </c>
      <c r="E23" s="177">
        <f>SUM('Baseline_&amp;_Adverse_Scenario'!D96:'Baseline_&amp;_Adverse_Scenario'!D97)</f>
        <v>0</v>
      </c>
      <c r="F23" s="177">
        <f>SUM('Baseline_&amp;_Adverse_Scenario'!F96:'Baseline_&amp;_Adverse_Scenario'!F97)</f>
        <v>0</v>
      </c>
      <c r="G23" s="164"/>
      <c r="H23" s="182"/>
      <c r="I23" s="182"/>
      <c r="J23" s="71" t="s">
        <v>0</v>
      </c>
    </row>
    <row r="24" spans="3:10" ht="15">
      <c r="C24" s="105" t="s">
        <v>38</v>
      </c>
      <c r="E24" s="177">
        <f>SUM('Baseline_&amp;_Adverse_Scenario'!D90)</f>
        <v>0</v>
      </c>
      <c r="F24" s="177">
        <f>SUM('Baseline_&amp;_Adverse_Scenario'!F90)</f>
        <v>0</v>
      </c>
      <c r="G24" s="164"/>
      <c r="H24" s="179"/>
      <c r="I24" s="179"/>
      <c r="J24" s="71" t="s">
        <v>0</v>
      </c>
    </row>
    <row r="25" spans="3:10" ht="15">
      <c r="C25" s="105" t="s">
        <v>25</v>
      </c>
      <c r="E25" s="180">
        <f>SUM('Baseline_&amp;_Adverse_Scenario'!D99,'Baseline_&amp;_Adverse_Scenario'!D100)</f>
        <v>0</v>
      </c>
      <c r="F25" s="180">
        <f>SUM('Baseline_&amp;_Adverse_Scenario'!F99,'Baseline_&amp;_Adverse_Scenario'!F100)</f>
        <v>0</v>
      </c>
      <c r="G25" s="164"/>
      <c r="H25" s="177">
        <f>SUM('Baseline_&amp;_Adverse_Scenario'!D123)</f>
        <v>0</v>
      </c>
      <c r="I25" s="177">
        <f>SUM('Baseline_&amp;_Adverse_Scenario'!F123)</f>
        <v>0</v>
      </c>
      <c r="J25" s="71" t="s">
        <v>0</v>
      </c>
    </row>
    <row r="26" spans="3:10" ht="15">
      <c r="C26" s="9" t="s">
        <v>26</v>
      </c>
      <c r="E26" s="180">
        <f>SUM(E20,E24:E25)</f>
        <v>0</v>
      </c>
      <c r="F26" s="180">
        <f>SUM(F20,F24:F25)</f>
        <v>0</v>
      </c>
      <c r="G26" s="164"/>
      <c r="H26" s="181">
        <f>SUM(H20,H25)</f>
        <v>0</v>
      </c>
      <c r="I26" s="181">
        <f>SUM(I20,I25)</f>
        <v>0</v>
      </c>
      <c r="J26" s="71" t="s">
        <v>0</v>
      </c>
    </row>
    <row r="27" spans="3:10" ht="15">
      <c r="C27" s="8"/>
      <c r="J27" s="71" t="s">
        <v>0</v>
      </c>
    </row>
    <row r="28" spans="3:10" ht="15">
      <c r="C28" s="7" t="s">
        <v>37</v>
      </c>
      <c r="E28" s="181">
        <f>SUM(E17)-SUM(E26)</f>
        <v>0</v>
      </c>
      <c r="F28" s="181">
        <f>SUM(F17)-SUM(F26)</f>
        <v>0</v>
      </c>
      <c r="G28" s="164"/>
      <c r="H28" s="181">
        <f>SUM(H17)-SUM(H26)</f>
        <v>0</v>
      </c>
      <c r="I28" s="181">
        <f>SUM(I17)-SUM(I26)</f>
        <v>0</v>
      </c>
      <c r="J28" s="71" t="s">
        <v>0</v>
      </c>
    </row>
    <row r="29" ht="15">
      <c r="J29" s="71" t="s">
        <v>0</v>
      </c>
    </row>
    <row r="30" spans="3:10" ht="15">
      <c r="C30" s="10" t="s">
        <v>122</v>
      </c>
      <c r="E30" s="183"/>
      <c r="F30" s="184"/>
      <c r="G30" s="166"/>
      <c r="H30" s="181">
        <f>SUM('Baseline_&amp;_Adverse_Scenario'!D137)</f>
        <v>0</v>
      </c>
      <c r="I30" s="181">
        <f>SUM('Baseline_&amp;_Adverse_Scenario'!F137)</f>
        <v>0</v>
      </c>
      <c r="J30" s="71" t="s">
        <v>0</v>
      </c>
    </row>
    <row r="31" spans="3:10" ht="15">
      <c r="C31" s="7" t="s">
        <v>88</v>
      </c>
      <c r="E31" s="185"/>
      <c r="F31" s="186"/>
      <c r="G31" s="166"/>
      <c r="H31" s="180">
        <f>SUM('Baseline_&amp;_Adverse_Scenario'!D139)</f>
        <v>0</v>
      </c>
      <c r="I31" s="180">
        <f>SUM('Baseline_&amp;_Adverse_Scenario'!F139)</f>
        <v>0</v>
      </c>
      <c r="J31" s="71" t="s">
        <v>0</v>
      </c>
    </row>
    <row r="32" spans="7:10" ht="15">
      <c r="G32" s="166"/>
      <c r="J32" s="71" t="s">
        <v>0</v>
      </c>
    </row>
    <row r="33" spans="3:10" ht="15">
      <c r="C33" s="7" t="s">
        <v>126</v>
      </c>
      <c r="E33" s="183"/>
      <c r="F33" s="184"/>
      <c r="G33" s="166"/>
      <c r="H33" s="181" t="str">
        <f>IF('Baseline_&amp;_Adverse_Scenario'!D140&lt;&gt;"-",SUM('Baseline_&amp;_Adverse_Scenario'!D140),"-")</f>
        <v>-</v>
      </c>
      <c r="I33" s="181" t="str">
        <f>IF('Baseline_&amp;_Adverse_Scenario'!F140&lt;&gt;"-",SUM('Baseline_&amp;_Adverse_Scenario'!F140),"-")</f>
        <v>-</v>
      </c>
      <c r="J33" s="71" t="s">
        <v>0</v>
      </c>
    </row>
    <row r="34" spans="3:10" ht="15">
      <c r="C34" s="7" t="s">
        <v>30</v>
      </c>
      <c r="E34" s="185"/>
      <c r="F34" s="186"/>
      <c r="G34" s="166"/>
      <c r="H34" s="180" t="str">
        <f>IF('Baseline_&amp;_Adverse_Scenario'!D142&lt;&gt;"-",SUM('Baseline_&amp;_Adverse_Scenario'!D142),"-")</f>
        <v>-</v>
      </c>
      <c r="I34" s="180" t="str">
        <f>IF('Baseline_&amp;_Adverse_Scenario'!F142&lt;&gt;"-",SUM('Baseline_&amp;_Adverse_Scenario'!F142),"-")</f>
        <v>-</v>
      </c>
      <c r="J34" s="71" t="s">
        <v>0</v>
      </c>
    </row>
    <row r="35" spans="7:10" ht="15">
      <c r="G35" s="166"/>
      <c r="J35" s="71" t="s">
        <v>0</v>
      </c>
    </row>
    <row r="36" spans="3:10" ht="30">
      <c r="C36" s="11" t="s">
        <v>123</v>
      </c>
      <c r="G36" s="166"/>
      <c r="J36" s="71" t="s">
        <v>0</v>
      </c>
    </row>
    <row r="37" spans="3:10" ht="15">
      <c r="C37" s="167" t="s">
        <v>109</v>
      </c>
      <c r="E37" s="183"/>
      <c r="F37" s="176">
        <f>SUM(F12)-SUM($E12)</f>
        <v>0</v>
      </c>
      <c r="G37" s="166"/>
      <c r="H37" s="178"/>
      <c r="I37" s="176">
        <f>SUM(I12)-SUM($H12)</f>
        <v>0</v>
      </c>
      <c r="J37" s="71" t="s">
        <v>0</v>
      </c>
    </row>
    <row r="38" spans="3:10" ht="15">
      <c r="C38" s="168" t="s">
        <v>110</v>
      </c>
      <c r="E38" s="187"/>
      <c r="F38" s="177">
        <f>SUM(F13)-SUM($E13)</f>
        <v>0</v>
      </c>
      <c r="G38" s="166"/>
      <c r="H38" s="187"/>
      <c r="I38" s="178"/>
      <c r="J38" s="71" t="s">
        <v>0</v>
      </c>
    </row>
    <row r="39" spans="3:10" ht="15">
      <c r="C39" s="168" t="s">
        <v>111</v>
      </c>
      <c r="E39" s="187"/>
      <c r="F39" s="177">
        <f>SUM(F14)-SUM($E14)</f>
        <v>0</v>
      </c>
      <c r="G39" s="166"/>
      <c r="H39" s="187"/>
      <c r="I39" s="182"/>
      <c r="J39" s="71" t="s">
        <v>0</v>
      </c>
    </row>
    <row r="40" spans="3:10" ht="15">
      <c r="C40" s="168" t="s">
        <v>112</v>
      </c>
      <c r="E40" s="187"/>
      <c r="F40" s="177">
        <f>SUM(F15)-SUM($E15)</f>
        <v>0</v>
      </c>
      <c r="G40" s="166"/>
      <c r="H40" s="187"/>
      <c r="I40" s="176">
        <f>SUM(I15)-SUM($H15)</f>
        <v>0</v>
      </c>
      <c r="J40" s="71" t="s">
        <v>0</v>
      </c>
    </row>
    <row r="41" spans="3:10" ht="15">
      <c r="C41" s="168" t="s">
        <v>113</v>
      </c>
      <c r="E41" s="187"/>
      <c r="F41" s="177">
        <f>SUM(F16)-SUM($E16)</f>
        <v>0</v>
      </c>
      <c r="G41" s="166"/>
      <c r="H41" s="187"/>
      <c r="I41" s="177">
        <f>SUM(I16)-SUM($H16)</f>
        <v>0</v>
      </c>
      <c r="J41" s="71" t="s">
        <v>0</v>
      </c>
    </row>
    <row r="42" spans="3:10" ht="15">
      <c r="C42" s="168" t="s">
        <v>114</v>
      </c>
      <c r="E42" s="187"/>
      <c r="F42" s="177">
        <f aca="true" t="shared" si="0" ref="F42:F47">-(SUM(F20)-SUM($E20))</f>
        <v>0</v>
      </c>
      <c r="G42" s="166"/>
      <c r="H42" s="187"/>
      <c r="I42" s="180">
        <f>-(SUM(I20)-SUM($H20))</f>
        <v>0</v>
      </c>
      <c r="J42" s="71" t="s">
        <v>0</v>
      </c>
    </row>
    <row r="43" spans="3:10" ht="15">
      <c r="C43" s="30" t="s">
        <v>216</v>
      </c>
      <c r="E43" s="187"/>
      <c r="F43" s="177">
        <f t="shared" si="0"/>
        <v>0</v>
      </c>
      <c r="G43" s="166"/>
      <c r="H43" s="187"/>
      <c r="I43" s="178"/>
      <c r="J43" s="71" t="s">
        <v>0</v>
      </c>
    </row>
    <row r="44" spans="3:10" ht="15">
      <c r="C44" s="30" t="s">
        <v>217</v>
      </c>
      <c r="E44" s="187"/>
      <c r="F44" s="177">
        <f t="shared" si="0"/>
        <v>0</v>
      </c>
      <c r="G44" s="166"/>
      <c r="H44" s="187"/>
      <c r="I44" s="182"/>
      <c r="J44" s="71" t="s">
        <v>0</v>
      </c>
    </row>
    <row r="45" spans="3:10" ht="15">
      <c r="C45" s="30" t="s">
        <v>218</v>
      </c>
      <c r="E45" s="187"/>
      <c r="F45" s="177">
        <f t="shared" si="0"/>
        <v>0</v>
      </c>
      <c r="G45" s="166"/>
      <c r="H45" s="187"/>
      <c r="I45" s="182"/>
      <c r="J45" s="71" t="s">
        <v>0</v>
      </c>
    </row>
    <row r="46" spans="3:10" ht="15">
      <c r="C46" s="168" t="s">
        <v>115</v>
      </c>
      <c r="E46" s="187"/>
      <c r="F46" s="177">
        <f t="shared" si="0"/>
        <v>0</v>
      </c>
      <c r="G46" s="166"/>
      <c r="H46" s="187"/>
      <c r="I46" s="179"/>
      <c r="J46" s="71" t="s">
        <v>0</v>
      </c>
    </row>
    <row r="47" spans="3:10" ht="15">
      <c r="C47" s="168" t="s">
        <v>116</v>
      </c>
      <c r="E47" s="187"/>
      <c r="F47" s="177">
        <f t="shared" si="0"/>
        <v>0</v>
      </c>
      <c r="G47" s="166"/>
      <c r="H47" s="182"/>
      <c r="I47" s="177">
        <f>-(SUM(I25)-SUM($H25))</f>
        <v>0</v>
      </c>
      <c r="J47" s="71" t="s">
        <v>0</v>
      </c>
    </row>
    <row r="48" spans="3:10" ht="15">
      <c r="C48" s="7" t="s">
        <v>124</v>
      </c>
      <c r="E48" s="182"/>
      <c r="F48" s="180">
        <f>SUM(F28)-SUM($E28)</f>
        <v>0</v>
      </c>
      <c r="G48" s="166"/>
      <c r="H48" s="182"/>
      <c r="I48" s="181">
        <f>SUM(I28)-SUM($H28)</f>
        <v>0</v>
      </c>
      <c r="J48" s="71" t="s">
        <v>0</v>
      </c>
    </row>
    <row r="49" spans="3:10" ht="15">
      <c r="C49" s="169" t="s">
        <v>219</v>
      </c>
      <c r="E49" s="182"/>
      <c r="F49" s="178"/>
      <c r="G49" s="166"/>
      <c r="H49" s="182"/>
      <c r="I49" s="177">
        <f>-((SUM(I30)-SUM(I26))-(SUM($H30)-SUM($H26)))</f>
        <v>0</v>
      </c>
      <c r="J49" s="71" t="s">
        <v>0</v>
      </c>
    </row>
    <row r="50" spans="3:10" ht="15">
      <c r="C50" s="7" t="s">
        <v>125</v>
      </c>
      <c r="E50" s="179"/>
      <c r="F50" s="179"/>
      <c r="G50" s="166"/>
      <c r="H50" s="179"/>
      <c r="I50" s="181">
        <f>SUM(I31)-SUM($H31)</f>
        <v>0</v>
      </c>
      <c r="J50" s="71" t="s">
        <v>0</v>
      </c>
    </row>
    <row r="51" spans="1:10" ht="15">
      <c r="A51" s="71" t="s">
        <v>0</v>
      </c>
      <c r="B51" s="71" t="s">
        <v>0</v>
      </c>
      <c r="C51" s="71" t="s">
        <v>0</v>
      </c>
      <c r="D51" s="71" t="s">
        <v>0</v>
      </c>
      <c r="E51" s="71" t="s">
        <v>0</v>
      </c>
      <c r="F51" s="71" t="s">
        <v>0</v>
      </c>
      <c r="G51" s="71" t="s">
        <v>0</v>
      </c>
      <c r="H51" s="71" t="s">
        <v>0</v>
      </c>
      <c r="I51" s="71" t="s">
        <v>0</v>
      </c>
      <c r="J51" s="71" t="s">
        <v>0</v>
      </c>
    </row>
  </sheetData>
  <sheetProtection sheet="1" formatCells="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sheetPr>
  <dimension ref="A1:AM168"/>
  <sheetViews>
    <sheetView zoomScalePageLayoutView="0" workbookViewId="0" topLeftCell="A1">
      <selection activeCell="C1" sqref="C1"/>
    </sheetView>
  </sheetViews>
  <sheetFormatPr defaultColWidth="8.8515625" defaultRowHeight="15"/>
  <cols>
    <col min="1" max="2" width="12.140625" style="51" customWidth="1"/>
    <col min="3" max="3" width="21.140625" style="51" customWidth="1"/>
    <col min="4" max="10" width="14.28125" style="51" customWidth="1"/>
    <col min="11" max="11" width="9.140625" style="51" customWidth="1"/>
    <col min="12" max="18" width="14.28125" style="51" customWidth="1"/>
    <col min="19" max="19" width="3.7109375" style="51" customWidth="1"/>
    <col min="20" max="20" width="3.7109375" style="0" hidden="1" customWidth="1"/>
    <col min="21" max="27" width="0" style="51" hidden="1" customWidth="1"/>
    <col min="28" max="28" width="17.140625" style="51" hidden="1" customWidth="1"/>
    <col min="29" max="29" width="3.7109375" style="51" hidden="1" customWidth="1"/>
    <col min="30" max="34" width="0" style="51" hidden="1" customWidth="1"/>
    <col min="35" max="36" width="0" style="0" hidden="1" customWidth="1"/>
    <col min="37" max="37" width="17.140625" style="0" hidden="1" customWidth="1"/>
    <col min="38" max="38" width="3.7109375" style="0" hidden="1" customWidth="1"/>
    <col min="39" max="39" width="8.8515625" style="0" customWidth="1"/>
    <col min="40" max="16384" width="8.8515625" style="51" customWidth="1"/>
  </cols>
  <sheetData>
    <row r="1" spans="3:39" ht="15">
      <c r="C1" s="68" t="str">
        <f>Participant!$C$1</f>
        <v>-</v>
      </c>
      <c r="D1" s="170"/>
      <c r="E1" s="170"/>
      <c r="F1" s="170"/>
      <c r="G1" s="170"/>
      <c r="H1" s="170"/>
      <c r="I1" s="170"/>
      <c r="J1" s="170"/>
      <c r="K1" s="170"/>
      <c r="L1" s="170"/>
      <c r="M1" s="170"/>
      <c r="N1" s="170"/>
      <c r="O1" s="170"/>
      <c r="P1" s="170"/>
      <c r="Q1" s="161"/>
      <c r="R1" s="70" t="str">
        <f>Version</f>
        <v>EIOPA-17-283-IORP_ST17_DB_Template-(20170518)</v>
      </c>
      <c r="S1" s="71" t="s">
        <v>0</v>
      </c>
      <c r="AI1" s="51"/>
      <c r="AJ1" s="51"/>
      <c r="AK1" s="51"/>
      <c r="AL1" s="71" t="s">
        <v>0</v>
      </c>
      <c r="AM1" s="51"/>
    </row>
    <row r="2" spans="3:39" ht="18.75">
      <c r="C2" s="43" t="str">
        <f>Participant!$C$2</f>
        <v>-</v>
      </c>
      <c r="D2" s="188"/>
      <c r="E2" s="188"/>
      <c r="F2" s="188"/>
      <c r="G2" s="188" t="s">
        <v>315</v>
      </c>
      <c r="H2" s="188"/>
      <c r="I2" s="188"/>
      <c r="J2" s="188"/>
      <c r="K2" s="188"/>
      <c r="L2" s="188"/>
      <c r="M2" s="188"/>
      <c r="N2" s="188"/>
      <c r="O2" s="188"/>
      <c r="P2" s="188"/>
      <c r="Q2" s="233"/>
      <c r="R2" s="111" t="str">
        <f>Participant!$E$2</f>
        <v>2016 - - (-)</v>
      </c>
      <c r="S2" s="71" t="s">
        <v>0</v>
      </c>
      <c r="AI2" s="51"/>
      <c r="AJ2" s="51"/>
      <c r="AK2" s="51"/>
      <c r="AL2" s="71" t="s">
        <v>0</v>
      </c>
      <c r="AM2" s="51"/>
    </row>
    <row r="3" spans="2:39" ht="15">
      <c r="B3" s="272"/>
      <c r="C3" s="272"/>
      <c r="D3" s="272"/>
      <c r="E3" s="272"/>
      <c r="F3" s="272"/>
      <c r="G3" s="272"/>
      <c r="H3" s="272"/>
      <c r="I3" s="272"/>
      <c r="J3" s="272"/>
      <c r="K3" s="272"/>
      <c r="L3" s="272"/>
      <c r="M3" s="272"/>
      <c r="N3" s="272"/>
      <c r="O3" s="272"/>
      <c r="P3" s="272"/>
      <c r="S3" s="71" t="s">
        <v>0</v>
      </c>
      <c r="AI3" s="51"/>
      <c r="AJ3" s="51"/>
      <c r="AK3" s="51"/>
      <c r="AL3" s="71" t="s">
        <v>0</v>
      </c>
      <c r="AM3" s="51"/>
    </row>
    <row r="4" spans="2:39" ht="15">
      <c r="B4" s="272"/>
      <c r="C4" s="447" t="s">
        <v>73</v>
      </c>
      <c r="D4" s="448"/>
      <c r="E4" s="272"/>
      <c r="F4" s="156"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G4" s="272"/>
      <c r="H4" s="272"/>
      <c r="I4" s="272"/>
      <c r="J4" s="272"/>
      <c r="K4" s="272"/>
      <c r="L4" s="272"/>
      <c r="M4" s="272"/>
      <c r="N4" s="272"/>
      <c r="O4" s="272"/>
      <c r="P4" s="272"/>
      <c r="R4" s="27" t="str">
        <f>HYPERLINK("#'P.index'!D10","&gt;&gt; goto index")</f>
        <v>&gt;&gt; goto index</v>
      </c>
      <c r="S4" s="71" t="s">
        <v>0</v>
      </c>
      <c r="AI4" s="51"/>
      <c r="AJ4" s="51"/>
      <c r="AK4" s="51"/>
      <c r="AL4" s="71" t="s">
        <v>0</v>
      </c>
      <c r="AM4" s="51"/>
    </row>
    <row r="5" spans="2:39" ht="15">
      <c r="B5" s="272"/>
      <c r="C5" s="449" t="s">
        <v>74</v>
      </c>
      <c r="D5" s="450"/>
      <c r="E5" s="272"/>
      <c r="F5" s="272"/>
      <c r="G5" s="272"/>
      <c r="H5" s="272"/>
      <c r="I5" s="272"/>
      <c r="J5" s="272"/>
      <c r="K5" s="272"/>
      <c r="L5" s="272"/>
      <c r="M5" s="272"/>
      <c r="N5" s="272"/>
      <c r="O5" s="272"/>
      <c r="P5" s="272"/>
      <c r="S5" s="71" t="s">
        <v>0</v>
      </c>
      <c r="AI5" s="51"/>
      <c r="AJ5" s="51"/>
      <c r="AK5" s="51"/>
      <c r="AL5" s="71" t="s">
        <v>0</v>
      </c>
      <c r="AM5" s="51"/>
    </row>
    <row r="6" spans="2:39" ht="15">
      <c r="B6" s="138"/>
      <c r="C6" s="271"/>
      <c r="D6" s="73"/>
      <c r="E6" s="73"/>
      <c r="F6" s="73"/>
      <c r="G6" s="73"/>
      <c r="H6" s="73"/>
      <c r="I6" s="73"/>
      <c r="J6" s="73"/>
      <c r="K6" s="73"/>
      <c r="L6" s="73"/>
      <c r="M6" s="73"/>
      <c r="N6" s="73"/>
      <c r="O6" s="73"/>
      <c r="P6" s="73"/>
      <c r="Q6" s="73"/>
      <c r="S6" s="71" t="s">
        <v>0</v>
      </c>
      <c r="AI6" s="51"/>
      <c r="AJ6" s="51"/>
      <c r="AK6" s="51"/>
      <c r="AL6" s="71" t="s">
        <v>0</v>
      </c>
      <c r="AM6" s="51"/>
    </row>
    <row r="7" spans="3:39" ht="15">
      <c r="C7" s="206"/>
      <c r="D7" s="227"/>
      <c r="E7" s="227"/>
      <c r="F7" s="227"/>
      <c r="G7" s="227"/>
      <c r="H7" s="227"/>
      <c r="I7" s="227"/>
      <c r="J7" s="227"/>
      <c r="K7" s="227"/>
      <c r="L7" s="227"/>
      <c r="M7" s="227"/>
      <c r="N7" s="227"/>
      <c r="O7" s="227"/>
      <c r="P7" s="227"/>
      <c r="Q7" s="227"/>
      <c r="R7" s="227"/>
      <c r="S7" s="71" t="s">
        <v>0</v>
      </c>
      <c r="AI7" s="51"/>
      <c r="AJ7" s="51"/>
      <c r="AK7" s="51"/>
      <c r="AL7" s="71" t="s">
        <v>0</v>
      </c>
      <c r="AM7" s="51"/>
    </row>
    <row r="8" spans="19:39" ht="4.5" customHeight="1">
      <c r="S8" s="71" t="s">
        <v>0</v>
      </c>
      <c r="AI8" s="51"/>
      <c r="AJ8" s="51"/>
      <c r="AK8" s="51"/>
      <c r="AL8" s="71" t="s">
        <v>0</v>
      </c>
      <c r="AM8" s="51"/>
    </row>
    <row r="9" spans="2:39" ht="15" customHeight="1">
      <c r="B9" s="318" t="s">
        <v>530</v>
      </c>
      <c r="C9" s="451" t="str">
        <f>"Cash-flow projections for unconditional benefits (in "&amp;Participant!D14&amp;" of "&amp;Participant!D13&amp;") using the technical specifications for the valuation of the common balance sheet"</f>
        <v>Cash-flow projections for unconditional benefits (in - of -) using the technical specifications for the valuation of the common balance sheet</v>
      </c>
      <c r="D9" s="452"/>
      <c r="E9" s="452"/>
      <c r="F9" s="452"/>
      <c r="G9" s="452"/>
      <c r="H9" s="452"/>
      <c r="I9" s="452"/>
      <c r="J9" s="452"/>
      <c r="K9" s="452"/>
      <c r="L9" s="452"/>
      <c r="M9" s="452"/>
      <c r="N9" s="452"/>
      <c r="O9" s="452"/>
      <c r="P9" s="452"/>
      <c r="Q9" s="452"/>
      <c r="R9" s="453"/>
      <c r="S9" s="71" t="s">
        <v>0</v>
      </c>
      <c r="AI9" s="51"/>
      <c r="AJ9" s="51"/>
      <c r="AK9" s="51"/>
      <c r="AL9" s="71" t="s">
        <v>0</v>
      </c>
      <c r="AM9" s="51"/>
    </row>
    <row r="10" spans="3:39" ht="4.5" customHeight="1">
      <c r="C10" s="15"/>
      <c r="D10" s="208"/>
      <c r="E10" s="208"/>
      <c r="F10" s="208"/>
      <c r="G10" s="208"/>
      <c r="H10" s="208"/>
      <c r="I10" s="208"/>
      <c r="J10" s="208"/>
      <c r="K10" s="208"/>
      <c r="L10" s="208"/>
      <c r="M10" s="208"/>
      <c r="N10" s="208"/>
      <c r="O10" s="208"/>
      <c r="P10" s="208"/>
      <c r="Q10" s="208"/>
      <c r="R10" s="208"/>
      <c r="S10" s="71" t="s">
        <v>0</v>
      </c>
      <c r="AI10" s="51"/>
      <c r="AJ10" s="51"/>
      <c r="AK10" s="51"/>
      <c r="AL10" s="71" t="s">
        <v>0</v>
      </c>
      <c r="AM10" s="51"/>
    </row>
    <row r="11" spans="3:39" ht="15" customHeight="1">
      <c r="C11" s="15"/>
      <c r="D11" s="208"/>
      <c r="E11" s="208"/>
      <c r="F11" s="208"/>
      <c r="G11"/>
      <c r="H11"/>
      <c r="I11"/>
      <c r="J11"/>
      <c r="K11"/>
      <c r="L11" s="208"/>
      <c r="M11" s="208"/>
      <c r="N11" s="208"/>
      <c r="O11" s="208"/>
      <c r="P11" s="208"/>
      <c r="Q11" s="208"/>
      <c r="R11" s="208"/>
      <c r="S11" s="71" t="s">
        <v>0</v>
      </c>
      <c r="AI11" s="51"/>
      <c r="AJ11" s="51"/>
      <c r="AK11" s="51"/>
      <c r="AL11" s="71" t="s">
        <v>0</v>
      </c>
      <c r="AM11" s="51"/>
    </row>
    <row r="12" spans="3:39" ht="15" customHeight="1">
      <c r="C12" s="402" t="s">
        <v>528</v>
      </c>
      <c r="D12" s="403"/>
      <c r="E12" s="403"/>
      <c r="F12" s="404">
        <f>SUM('Baseline_&amp;_Adverse_Scenario'!D106)</f>
        <v>0</v>
      </c>
      <c r="G12" s="443" t="s">
        <v>420</v>
      </c>
      <c r="H12" s="444"/>
      <c r="I12" s="445"/>
      <c r="J12" s="181">
        <f>IF(ISNUMBER('Baseline_&amp;_Adverse_Scenario'!$D$92),SUM('Baseline_&amp;_Adverse_Scenario'!$D$92),SUM('Baseline_&amp;_Adverse_Scenario'!$D$93)-SUM('Baseline_&amp;_Adverse_Scenario'!$D$94))</f>
        <v>0</v>
      </c>
      <c r="K12"/>
      <c r="L12" s="208"/>
      <c r="M12" s="208"/>
      <c r="N12" s="208"/>
      <c r="O12" s="443" t="s">
        <v>420</v>
      </c>
      <c r="P12" s="444"/>
      <c r="Q12" s="445"/>
      <c r="R12" s="181">
        <f>IF(ISNUMBER('Baseline_&amp;_Adverse_Scenario'!$F$92),SUM('Baseline_&amp;_Adverse_Scenario'!$F$92),SUM('Baseline_&amp;_Adverse_Scenario'!$F$93)-SUM('Baseline_&amp;_Adverse_Scenario'!$F$94))</f>
        <v>0</v>
      </c>
      <c r="S12" s="71" t="s">
        <v>0</v>
      </c>
      <c r="AI12" s="51"/>
      <c r="AJ12" s="51"/>
      <c r="AK12" s="51"/>
      <c r="AL12" s="71" t="s">
        <v>0</v>
      </c>
      <c r="AM12" s="51"/>
    </row>
    <row r="13" spans="3:39" ht="15" customHeight="1">
      <c r="C13" s="402" t="s">
        <v>529</v>
      </c>
      <c r="D13" s="403"/>
      <c r="E13" s="403"/>
      <c r="F13" s="404">
        <f>IF(SUM(J13)&lt;&gt;0,SUMPRODUCT(T19:T118,AB19:AB118)/SUM(J13),0)</f>
        <v>0</v>
      </c>
      <c r="G13" s="443" t="s">
        <v>421</v>
      </c>
      <c r="H13" s="444"/>
      <c r="I13" s="445"/>
      <c r="J13" s="181">
        <f>SUM(AB19:AB118)</f>
        <v>0</v>
      </c>
      <c r="K13"/>
      <c r="L13" s="208"/>
      <c r="M13" s="208"/>
      <c r="N13" s="208"/>
      <c r="O13" s="443" t="s">
        <v>421</v>
      </c>
      <c r="P13" s="444"/>
      <c r="Q13" s="445"/>
      <c r="R13" s="181">
        <f>SUM(AK19:AK118)</f>
        <v>0</v>
      </c>
      <c r="S13" s="71" t="s">
        <v>0</v>
      </c>
      <c r="AI13" s="51"/>
      <c r="AJ13" s="51"/>
      <c r="AK13" s="51"/>
      <c r="AL13" s="71" t="s">
        <v>0</v>
      </c>
      <c r="AM13" s="51"/>
    </row>
    <row r="14" spans="3:39" ht="15" customHeight="1">
      <c r="C14" s="402" t="s">
        <v>527</v>
      </c>
      <c r="D14" s="403"/>
      <c r="E14" s="403"/>
      <c r="F14" s="405">
        <f>F13-F12</f>
        <v>0</v>
      </c>
      <c r="G14" s="443" t="s">
        <v>422</v>
      </c>
      <c r="H14" s="444"/>
      <c r="I14" s="445"/>
      <c r="J14" s="253" t="str">
        <f>IF(SUM(J12)=0,"%",J13/J12-1)</f>
        <v>%</v>
      </c>
      <c r="K14"/>
      <c r="L14" s="208"/>
      <c r="M14" s="208"/>
      <c r="N14" s="208"/>
      <c r="O14" s="443" t="s">
        <v>422</v>
      </c>
      <c r="P14" s="444"/>
      <c r="Q14" s="445"/>
      <c r="R14" s="253" t="str">
        <f>IF(SUM(R12)=0,"%",R13/R12-1)</f>
        <v>%</v>
      </c>
      <c r="S14" s="71" t="s">
        <v>0</v>
      </c>
      <c r="AI14" s="51"/>
      <c r="AJ14" s="51"/>
      <c r="AK14" s="51"/>
      <c r="AL14" s="71" t="s">
        <v>0</v>
      </c>
      <c r="AM14" s="51"/>
    </row>
    <row r="15" spans="3:39" ht="15" customHeight="1">
      <c r="C15" s="15"/>
      <c r="D15" s="208"/>
      <c r="E15" s="208"/>
      <c r="F15" s="208"/>
      <c r="G15" s="208"/>
      <c r="H15" s="208"/>
      <c r="I15" s="208"/>
      <c r="J15" s="208"/>
      <c r="K15" s="208"/>
      <c r="L15" s="208"/>
      <c r="M15" s="208"/>
      <c r="N15" s="208"/>
      <c r="O15" s="208"/>
      <c r="P15" s="208"/>
      <c r="Q15" s="208"/>
      <c r="R15" s="208"/>
      <c r="S15" s="71" t="s">
        <v>0</v>
      </c>
      <c r="AI15" s="51"/>
      <c r="AJ15" s="51"/>
      <c r="AK15" s="51"/>
      <c r="AL15" s="71" t="s">
        <v>0</v>
      </c>
      <c r="AM15" s="51"/>
    </row>
    <row r="16" spans="3:39" ht="4.5" customHeight="1">
      <c r="C16" s="15"/>
      <c r="D16" s="208"/>
      <c r="E16" s="208"/>
      <c r="F16" s="208"/>
      <c r="G16" s="208"/>
      <c r="H16" s="208"/>
      <c r="I16" s="208"/>
      <c r="J16" s="208"/>
      <c r="K16" s="208"/>
      <c r="L16" s="208"/>
      <c r="M16" s="208"/>
      <c r="N16" s="208"/>
      <c r="O16" s="208"/>
      <c r="P16" s="208"/>
      <c r="Q16" s="208"/>
      <c r="R16" s="208"/>
      <c r="S16" s="71" t="s">
        <v>0</v>
      </c>
      <c r="AI16" s="51"/>
      <c r="AJ16" s="51"/>
      <c r="AK16" s="51"/>
      <c r="AL16" s="71" t="s">
        <v>0</v>
      </c>
      <c r="AM16" s="51"/>
    </row>
    <row r="17" spans="3:39" ht="15" customHeight="1">
      <c r="C17" s="15"/>
      <c r="D17" s="244" t="s">
        <v>89</v>
      </c>
      <c r="E17" s="245"/>
      <c r="F17" s="245"/>
      <c r="G17" s="245"/>
      <c r="H17" s="245"/>
      <c r="I17" s="245"/>
      <c r="J17" s="246"/>
      <c r="K17" s="285"/>
      <c r="L17" s="451" t="s">
        <v>331</v>
      </c>
      <c r="M17" s="452"/>
      <c r="N17" s="452"/>
      <c r="O17" s="452"/>
      <c r="P17" s="452"/>
      <c r="Q17" s="452"/>
      <c r="R17" s="453"/>
      <c r="S17" s="71" t="s">
        <v>0</v>
      </c>
      <c r="U17" s="446" t="s">
        <v>89</v>
      </c>
      <c r="V17" s="446"/>
      <c r="W17" s="446"/>
      <c r="X17" s="446"/>
      <c r="Y17" s="446"/>
      <c r="Z17" s="446"/>
      <c r="AA17" s="446"/>
      <c r="AB17" s="446"/>
      <c r="AD17" s="446" t="s">
        <v>331</v>
      </c>
      <c r="AE17" s="446"/>
      <c r="AF17" s="446"/>
      <c r="AG17" s="446"/>
      <c r="AH17" s="446"/>
      <c r="AI17" s="446"/>
      <c r="AJ17" s="446"/>
      <c r="AK17" s="446"/>
      <c r="AL17" s="71" t="s">
        <v>0</v>
      </c>
      <c r="AM17" s="51"/>
    </row>
    <row r="18" spans="1:39" ht="165">
      <c r="A18" s="93"/>
      <c r="B18" s="209"/>
      <c r="C18" s="273" t="s">
        <v>316</v>
      </c>
      <c r="D18" s="3" t="s">
        <v>447</v>
      </c>
      <c r="E18" s="3" t="s">
        <v>319</v>
      </c>
      <c r="F18" s="3" t="s">
        <v>317</v>
      </c>
      <c r="G18" s="3" t="s">
        <v>318</v>
      </c>
      <c r="H18" s="3" t="s">
        <v>321</v>
      </c>
      <c r="I18" s="3" t="s">
        <v>320</v>
      </c>
      <c r="J18" s="3" t="s">
        <v>320</v>
      </c>
      <c r="K18" s="22"/>
      <c r="L18" s="3" t="s">
        <v>447</v>
      </c>
      <c r="M18" s="3" t="s">
        <v>319</v>
      </c>
      <c r="N18" s="3" t="s">
        <v>317</v>
      </c>
      <c r="O18" s="3" t="s">
        <v>318</v>
      </c>
      <c r="P18" s="3" t="s">
        <v>321</v>
      </c>
      <c r="Q18" s="3" t="s">
        <v>320</v>
      </c>
      <c r="R18" s="3" t="s">
        <v>320</v>
      </c>
      <c r="S18" s="71" t="s">
        <v>0</v>
      </c>
      <c r="U18" s="332" t="s">
        <v>57</v>
      </c>
      <c r="V18" s="332" t="s">
        <v>245</v>
      </c>
      <c r="W18" s="332" t="s">
        <v>95</v>
      </c>
      <c r="X18" s="332" t="s">
        <v>58</v>
      </c>
      <c r="Y18" s="332" t="s">
        <v>423</v>
      </c>
      <c r="Z18" s="332" t="s">
        <v>424</v>
      </c>
      <c r="AA18" s="332" t="s">
        <v>60</v>
      </c>
      <c r="AB18" s="332" t="s">
        <v>425</v>
      </c>
      <c r="AC18" s="332"/>
      <c r="AD18" s="332" t="s">
        <v>57</v>
      </c>
      <c r="AE18" s="332" t="s">
        <v>245</v>
      </c>
      <c r="AF18" s="332" t="s">
        <v>95</v>
      </c>
      <c r="AG18" s="332" t="s">
        <v>58</v>
      </c>
      <c r="AH18" s="332" t="s">
        <v>423</v>
      </c>
      <c r="AI18" s="332" t="s">
        <v>424</v>
      </c>
      <c r="AJ18" s="332" t="s">
        <v>60</v>
      </c>
      <c r="AK18" s="332" t="s">
        <v>425</v>
      </c>
      <c r="AL18" s="71" t="s">
        <v>0</v>
      </c>
      <c r="AM18" s="51"/>
    </row>
    <row r="19" spans="1:39" ht="15" customHeight="1">
      <c r="A19" s="93"/>
      <c r="B19" s="209"/>
      <c r="C19" s="324">
        <v>1</v>
      </c>
      <c r="D19" s="337" t="s">
        <v>9</v>
      </c>
      <c r="E19" s="337" t="s">
        <v>9</v>
      </c>
      <c r="F19" s="325" t="s">
        <v>9</v>
      </c>
      <c r="G19" s="114">
        <f>SUM(E19)+SUM(F19)</f>
        <v>0</v>
      </c>
      <c r="H19" s="326" t="s">
        <v>9</v>
      </c>
      <c r="I19" s="114">
        <f>IF(G19&lt;&gt;0,SUM(G19)-SUM(D19),SUM(H19)-SUM(D19))</f>
        <v>0</v>
      </c>
      <c r="J19" s="423" t="s">
        <v>9</v>
      </c>
      <c r="K19" s="178"/>
      <c r="L19" s="130" t="s">
        <v>9</v>
      </c>
      <c r="M19" s="422" t="s">
        <v>9</v>
      </c>
      <c r="N19" s="325" t="s">
        <v>9</v>
      </c>
      <c r="O19" s="114">
        <f>SUM(M19)+SUM(N19)</f>
        <v>0</v>
      </c>
      <c r="P19" s="326" t="s">
        <v>9</v>
      </c>
      <c r="Q19" s="114">
        <f>IF(O19&lt;&gt;0,SUM(O19)-SUM(L19),SUM(P19)-SUM(L19))</f>
        <v>0</v>
      </c>
      <c r="R19" s="234" t="s">
        <v>9</v>
      </c>
      <c r="S19" s="71" t="s">
        <v>0</v>
      </c>
      <c r="T19">
        <v>1</v>
      </c>
      <c r="U19" s="333">
        <v>-0.00302</v>
      </c>
      <c r="V19" s="333">
        <v>-0.00768</v>
      </c>
      <c r="W19" s="333">
        <v>-0.00312</v>
      </c>
      <c r="X19" s="334">
        <v>0.00382</v>
      </c>
      <c r="Y19" s="335">
        <v>0.04871</v>
      </c>
      <c r="Z19" s="335">
        <v>0.01005</v>
      </c>
      <c r="AA19" s="335">
        <v>-0.00582</v>
      </c>
      <c r="AB19" s="336" t="str">
        <f>IF(Participant!$D$13="-","-",IF(I19&lt;&gt;0,I19*(1+HLOOKUP(Participant!$D$13,CF_Analysis!$U$18:$AA$118,CF_Analysis!T19+1,FALSE))^-T19,IF(ISNUMBER(J19),J19*(1+HLOOKUP(Participant!$D$13,CF_Analysis!$U$18:$AA$118,CF_Analysis!T19+1,FALSE))^-T19,"-")))</f>
        <v>-</v>
      </c>
      <c r="AC19">
        <v>1</v>
      </c>
      <c r="AD19" s="333">
        <v>-0.00652</v>
      </c>
      <c r="AE19" s="333">
        <v>-0.01118</v>
      </c>
      <c r="AF19" s="333">
        <v>-0.00662</v>
      </c>
      <c r="AG19" s="333">
        <v>0.00032</v>
      </c>
      <c r="AH19" s="333">
        <v>0.04521</v>
      </c>
      <c r="AI19" s="333">
        <v>0.00655</v>
      </c>
      <c r="AJ19" s="333">
        <v>-0.00932</v>
      </c>
      <c r="AK19" s="336" t="str">
        <f>IF(Participant!$D$13="-","-",IF(Q19&lt;&gt;0,Q19*(1+HLOOKUP(Participant!$D$13,$AD$18:$AJ$118,CF_Analysis!AC19+1,FALSE))^-AC19,IF(ISNUMBER(R19),R19*(1+HLOOKUP(Participant!$D$13,$AD$18:$AJ$118,CF_Analysis!AC19+1,FALSE))^-AC19,"-")))</f>
        <v>-</v>
      </c>
      <c r="AL19" s="71" t="s">
        <v>0</v>
      </c>
      <c r="AM19" s="51"/>
    </row>
    <row r="20" spans="1:39" ht="15" customHeight="1">
      <c r="A20" s="93"/>
      <c r="C20" s="275">
        <v>2</v>
      </c>
      <c r="D20" s="282" t="s">
        <v>9</v>
      </c>
      <c r="E20" s="282" t="s">
        <v>9</v>
      </c>
      <c r="F20" s="279" t="s">
        <v>9</v>
      </c>
      <c r="G20" s="120">
        <f aca="true" t="shared" si="0" ref="G20:G74">SUM(E20)+SUM(F20)</f>
        <v>0</v>
      </c>
      <c r="H20" s="278" t="s">
        <v>9</v>
      </c>
      <c r="I20" s="120">
        <f aca="true" t="shared" si="1" ref="I20:I74">IF(G20&lt;&gt;0,SUM(G20)-SUM(D20),SUM(H20)-SUM(D20))</f>
        <v>0</v>
      </c>
      <c r="J20" s="424" t="s">
        <v>9</v>
      </c>
      <c r="K20" s="182"/>
      <c r="L20" s="282" t="s">
        <v>9</v>
      </c>
      <c r="M20" s="418" t="s">
        <v>9</v>
      </c>
      <c r="N20" s="279" t="s">
        <v>9</v>
      </c>
      <c r="O20" s="120">
        <f aca="true" t="shared" si="2" ref="O20:O74">SUM(M20)+SUM(N20)</f>
        <v>0</v>
      </c>
      <c r="P20" s="278" t="s">
        <v>9</v>
      </c>
      <c r="Q20" s="120">
        <f aca="true" t="shared" si="3" ref="Q20:Q74">IF(O20&lt;&gt;0,SUM(O20)-SUM(L20),SUM(P20)-SUM(L20))</f>
        <v>0</v>
      </c>
      <c r="R20" s="231" t="s">
        <v>9</v>
      </c>
      <c r="S20" s="71" t="s">
        <v>0</v>
      </c>
      <c r="T20">
        <v>2</v>
      </c>
      <c r="U20" s="333">
        <v>-0.00261</v>
      </c>
      <c r="V20" s="333">
        <v>-0.00703</v>
      </c>
      <c r="W20" s="333">
        <v>-0.00271</v>
      </c>
      <c r="X20" s="334">
        <v>0.00439</v>
      </c>
      <c r="Y20" s="335">
        <v>0.0489</v>
      </c>
      <c r="Z20" s="335">
        <v>0.01186</v>
      </c>
      <c r="AA20" s="335">
        <v>-0.00445</v>
      </c>
      <c r="AB20" s="336" t="str">
        <f>IF(Participant!$D$13="-","-",IF(I20&lt;&gt;0,I20*(1+HLOOKUP(Participant!$D$13,CF_Analysis!$U$18:$AA$118,CF_Analysis!T20+1,FALSE))^-T20,IF(ISNUMBER(J20),J20*(1+HLOOKUP(Participant!$D$13,CF_Analysis!$U$18:$AA$118,CF_Analysis!T20+1,FALSE))^-T20,"-")))</f>
        <v>-</v>
      </c>
      <c r="AC20">
        <v>2</v>
      </c>
      <c r="AD20" s="333">
        <v>-0.00761</v>
      </c>
      <c r="AE20" s="333">
        <v>-0.01203</v>
      </c>
      <c r="AF20" s="333">
        <v>-0.00771</v>
      </c>
      <c r="AG20" s="333">
        <v>-0.00061</v>
      </c>
      <c r="AH20" s="333">
        <v>0.0439</v>
      </c>
      <c r="AI20" s="333">
        <v>0.00686</v>
      </c>
      <c r="AJ20" s="333">
        <v>-0.00945</v>
      </c>
      <c r="AK20" s="336" t="str">
        <f>IF(Participant!$D$13="-","-",IF(Q20&lt;&gt;0,Q20*(1+HLOOKUP(Participant!$D$13,$AD$18:$AJ$118,CF_Analysis!AC20+1,FALSE))^-AC20,IF(ISNUMBER(R20),R20*(1+HLOOKUP(Participant!$D$13,$AD$18:$AJ$118,CF_Analysis!AC20+1,FALSE))^-AC20,"-")))</f>
        <v>-</v>
      </c>
      <c r="AL20" s="71" t="s">
        <v>0</v>
      </c>
      <c r="AM20" s="51"/>
    </row>
    <row r="21" spans="1:39" ht="15" customHeight="1">
      <c r="A21" s="93"/>
      <c r="C21" s="274">
        <v>3</v>
      </c>
      <c r="D21" s="282" t="s">
        <v>9</v>
      </c>
      <c r="E21" s="282" t="s">
        <v>9</v>
      </c>
      <c r="F21" s="279" t="s">
        <v>9</v>
      </c>
      <c r="G21" s="120">
        <f t="shared" si="0"/>
        <v>0</v>
      </c>
      <c r="H21" s="278" t="s">
        <v>9</v>
      </c>
      <c r="I21" s="120">
        <f t="shared" si="1"/>
        <v>0</v>
      </c>
      <c r="J21" s="424" t="s">
        <v>9</v>
      </c>
      <c r="K21" s="182"/>
      <c r="L21" s="282" t="s">
        <v>9</v>
      </c>
      <c r="M21" s="418" t="s">
        <v>9</v>
      </c>
      <c r="N21" s="279" t="s">
        <v>9</v>
      </c>
      <c r="O21" s="120">
        <f t="shared" si="2"/>
        <v>0</v>
      </c>
      <c r="P21" s="278" t="s">
        <v>9</v>
      </c>
      <c r="Q21" s="120">
        <f t="shared" si="3"/>
        <v>0</v>
      </c>
      <c r="R21" s="231" t="s">
        <v>9</v>
      </c>
      <c r="S21" s="71" t="s">
        <v>0</v>
      </c>
      <c r="T21">
        <v>3</v>
      </c>
      <c r="U21" s="333">
        <v>-0.00208</v>
      </c>
      <c r="V21" s="333">
        <v>-0.00626</v>
      </c>
      <c r="W21" s="333">
        <v>-0.00218</v>
      </c>
      <c r="X21" s="334">
        <v>0.0052</v>
      </c>
      <c r="Y21" s="335">
        <v>0.0491</v>
      </c>
      <c r="Z21" s="335">
        <v>0.01257</v>
      </c>
      <c r="AA21" s="335">
        <v>-0.0025</v>
      </c>
      <c r="AB21" s="336" t="str">
        <f>IF(Participant!$D$13="-","-",IF(I21&lt;&gt;0,I21*(1+HLOOKUP(Participant!$D$13,CF_Analysis!$U$18:$AA$118,CF_Analysis!T21+1,FALSE))^-T21,IF(ISNUMBER(J21),J21*(1+HLOOKUP(Participant!$D$13,CF_Analysis!$U$18:$AA$118,CF_Analysis!T21+1,FALSE))^-T21,"-")))</f>
        <v>-</v>
      </c>
      <c r="AC21">
        <v>3</v>
      </c>
      <c r="AD21" s="333">
        <v>-0.00758</v>
      </c>
      <c r="AE21" s="333">
        <v>-0.01176</v>
      </c>
      <c r="AF21" s="333">
        <v>-0.00768</v>
      </c>
      <c r="AG21" s="333">
        <v>-0.0003</v>
      </c>
      <c r="AH21" s="333">
        <v>0.0436</v>
      </c>
      <c r="AI21" s="333">
        <v>0.00707</v>
      </c>
      <c r="AJ21" s="333">
        <v>-0.008</v>
      </c>
      <c r="AK21" s="336" t="str">
        <f>IF(Participant!$D$13="-","-",IF(Q21&lt;&gt;0,Q21*(1+HLOOKUP(Participant!$D$13,$AD$18:$AJ$118,CF_Analysis!AC21+1,FALSE))^-AC21,IF(ISNUMBER(R21),R21*(1+HLOOKUP(Participant!$D$13,$AD$18:$AJ$118,CF_Analysis!AC21+1,FALSE))^-AC21,"-")))</f>
        <v>-</v>
      </c>
      <c r="AL21" s="71" t="s">
        <v>0</v>
      </c>
      <c r="AM21" s="51"/>
    </row>
    <row r="22" spans="1:39" ht="15" customHeight="1">
      <c r="A22" s="93"/>
      <c r="C22" s="275">
        <v>4</v>
      </c>
      <c r="D22" s="282" t="s">
        <v>9</v>
      </c>
      <c r="E22" s="282" t="s">
        <v>9</v>
      </c>
      <c r="F22" s="279" t="s">
        <v>9</v>
      </c>
      <c r="G22" s="120">
        <f t="shared" si="0"/>
        <v>0</v>
      </c>
      <c r="H22" s="278" t="s">
        <v>9</v>
      </c>
      <c r="I22" s="120">
        <f t="shared" si="1"/>
        <v>0</v>
      </c>
      <c r="J22" s="424" t="s">
        <v>9</v>
      </c>
      <c r="K22" s="182"/>
      <c r="L22" s="282" t="s">
        <v>9</v>
      </c>
      <c r="M22" s="418" t="s">
        <v>9</v>
      </c>
      <c r="N22" s="279" t="s">
        <v>9</v>
      </c>
      <c r="O22" s="120">
        <f t="shared" si="2"/>
        <v>0</v>
      </c>
      <c r="P22" s="278" t="s">
        <v>9</v>
      </c>
      <c r="Q22" s="120">
        <f t="shared" si="3"/>
        <v>0</v>
      </c>
      <c r="R22" s="231" t="s">
        <v>9</v>
      </c>
      <c r="S22" s="71" t="s">
        <v>0</v>
      </c>
      <c r="T22">
        <v>4</v>
      </c>
      <c r="U22" s="333">
        <v>-0.00123</v>
      </c>
      <c r="V22" s="333">
        <v>-0.00529</v>
      </c>
      <c r="W22" s="333">
        <v>-0.00133</v>
      </c>
      <c r="X22" s="334">
        <v>0.00607</v>
      </c>
      <c r="Y22" s="335">
        <v>0.04906</v>
      </c>
      <c r="Z22" s="335">
        <v>0.01358</v>
      </c>
      <c r="AA22" s="335">
        <v>-0.0005</v>
      </c>
      <c r="AB22" s="336" t="str">
        <f>IF(Participant!$D$13="-","-",IF(I22&lt;&gt;0,I22*(1+HLOOKUP(Participant!$D$13,CF_Analysis!$U$18:$AA$118,CF_Analysis!T22+1,FALSE))^-T22,IF(ISNUMBER(J22),J22*(1+HLOOKUP(Participant!$D$13,CF_Analysis!$U$18:$AA$118,CF_Analysis!T22+1,FALSE))^-T22,"-")))</f>
        <v>-</v>
      </c>
      <c r="AC22">
        <v>4</v>
      </c>
      <c r="AD22" s="333">
        <v>-0.00668</v>
      </c>
      <c r="AE22" s="333">
        <v>-0.01074</v>
      </c>
      <c r="AF22" s="333">
        <v>-0.00678</v>
      </c>
      <c r="AG22" s="333">
        <v>0.00062</v>
      </c>
      <c r="AH22" s="333">
        <v>0.04361</v>
      </c>
      <c r="AI22" s="333">
        <v>0.00813</v>
      </c>
      <c r="AJ22" s="333">
        <v>-0.00595</v>
      </c>
      <c r="AK22" s="336" t="str">
        <f>IF(Participant!$D$13="-","-",IF(Q22&lt;&gt;0,Q22*(1+HLOOKUP(Participant!$D$13,$AD$18:$AJ$118,CF_Analysis!AC22+1,FALSE))^-AC22,IF(ISNUMBER(R22),R22*(1+HLOOKUP(Participant!$D$13,$AD$18:$AJ$118,CF_Analysis!AC22+1,FALSE))^-AC22,"-")))</f>
        <v>-</v>
      </c>
      <c r="AL22" s="71" t="s">
        <v>0</v>
      </c>
      <c r="AM22" s="51"/>
    </row>
    <row r="23" spans="1:39" ht="15" customHeight="1">
      <c r="A23" s="93"/>
      <c r="C23" s="274">
        <v>5</v>
      </c>
      <c r="D23" s="282" t="s">
        <v>9</v>
      </c>
      <c r="E23" s="282" t="s">
        <v>9</v>
      </c>
      <c r="F23" s="279" t="s">
        <v>9</v>
      </c>
      <c r="G23" s="120">
        <f t="shared" si="0"/>
        <v>0</v>
      </c>
      <c r="H23" s="278" t="s">
        <v>9</v>
      </c>
      <c r="I23" s="120">
        <f t="shared" si="1"/>
        <v>0</v>
      </c>
      <c r="J23" s="424" t="s">
        <v>9</v>
      </c>
      <c r="K23" s="182"/>
      <c r="L23" s="282" t="s">
        <v>9</v>
      </c>
      <c r="M23" s="418" t="s">
        <v>9</v>
      </c>
      <c r="N23" s="279" t="s">
        <v>9</v>
      </c>
      <c r="O23" s="120">
        <f t="shared" si="2"/>
        <v>0</v>
      </c>
      <c r="P23" s="278" t="s">
        <v>9</v>
      </c>
      <c r="Q23" s="120">
        <f t="shared" si="3"/>
        <v>0</v>
      </c>
      <c r="R23" s="231" t="s">
        <v>9</v>
      </c>
      <c r="S23" s="71" t="s">
        <v>0</v>
      </c>
      <c r="T23">
        <v>5</v>
      </c>
      <c r="U23" s="333">
        <v>-0.00024</v>
      </c>
      <c r="V23" s="333">
        <v>-0.00421</v>
      </c>
      <c r="W23" s="333">
        <v>-0.00034</v>
      </c>
      <c r="X23" s="334">
        <v>0.00694</v>
      </c>
      <c r="Y23" s="335">
        <v>0.04892</v>
      </c>
      <c r="Z23" s="335">
        <v>0.01461</v>
      </c>
      <c r="AA23" s="335">
        <v>0.00159</v>
      </c>
      <c r="AB23" s="336" t="str">
        <f>IF(Participant!$D$13="-","-",IF(I23&lt;&gt;0,I23*(1+HLOOKUP(Participant!$D$13,CF_Analysis!$U$18:$AA$118,CF_Analysis!T23+1,FALSE))^-T23,IF(ISNUMBER(J23),J23*(1+HLOOKUP(Participant!$D$13,CF_Analysis!$U$18:$AA$118,CF_Analysis!T23+1,FALSE))^-T23,"-")))</f>
        <v>-</v>
      </c>
      <c r="AC23">
        <v>5</v>
      </c>
      <c r="AD23" s="333">
        <v>-0.00564</v>
      </c>
      <c r="AE23" s="333">
        <v>-0.00961</v>
      </c>
      <c r="AF23" s="333">
        <v>-0.00574</v>
      </c>
      <c r="AG23" s="333">
        <v>0.00154</v>
      </c>
      <c r="AH23" s="333">
        <v>0.04352</v>
      </c>
      <c r="AI23" s="333">
        <v>0.00921</v>
      </c>
      <c r="AJ23" s="333">
        <v>-0.00381</v>
      </c>
      <c r="AK23" s="336" t="str">
        <f>IF(Participant!$D$13="-","-",IF(Q23&lt;&gt;0,Q23*(1+HLOOKUP(Participant!$D$13,$AD$18:$AJ$118,CF_Analysis!AC23+1,FALSE))^-AC23,IF(ISNUMBER(R23),R23*(1+HLOOKUP(Participant!$D$13,$AD$18:$AJ$118,CF_Analysis!AC23+1,FALSE))^-AC23,"-")))</f>
        <v>-</v>
      </c>
      <c r="AL23" s="71" t="s">
        <v>0</v>
      </c>
      <c r="AM23" s="51"/>
    </row>
    <row r="24" spans="1:39" ht="15" customHeight="1">
      <c r="A24" s="93"/>
      <c r="C24" s="275">
        <v>6</v>
      </c>
      <c r="D24" s="282" t="s">
        <v>9</v>
      </c>
      <c r="E24" s="282" t="s">
        <v>9</v>
      </c>
      <c r="F24" s="279" t="s">
        <v>9</v>
      </c>
      <c r="G24" s="120">
        <f t="shared" si="0"/>
        <v>0</v>
      </c>
      <c r="H24" s="278" t="s">
        <v>9</v>
      </c>
      <c r="I24" s="120">
        <f t="shared" si="1"/>
        <v>0</v>
      </c>
      <c r="J24" s="424" t="s">
        <v>9</v>
      </c>
      <c r="K24" s="182"/>
      <c r="L24" s="282" t="s">
        <v>9</v>
      </c>
      <c r="M24" s="418" t="s">
        <v>9</v>
      </c>
      <c r="N24" s="279" t="s">
        <v>9</v>
      </c>
      <c r="O24" s="120">
        <f t="shared" si="2"/>
        <v>0</v>
      </c>
      <c r="P24" s="278" t="s">
        <v>9</v>
      </c>
      <c r="Q24" s="120">
        <f t="shared" si="3"/>
        <v>0</v>
      </c>
      <c r="R24" s="231" t="s">
        <v>9</v>
      </c>
      <c r="S24" s="71" t="s">
        <v>0</v>
      </c>
      <c r="T24">
        <v>6</v>
      </c>
      <c r="U24" s="333">
        <v>0.00092</v>
      </c>
      <c r="V24" s="333">
        <v>-0.00297</v>
      </c>
      <c r="W24" s="333">
        <v>0.00081</v>
      </c>
      <c r="X24" s="334">
        <v>0.00781</v>
      </c>
      <c r="Y24" s="335">
        <v>0.0488</v>
      </c>
      <c r="Z24" s="335">
        <v>0.01564</v>
      </c>
      <c r="AA24" s="335">
        <v>0.00362</v>
      </c>
      <c r="AB24" s="336" t="str">
        <f>IF(Participant!$D$13="-","-",IF(I24&lt;&gt;0,I24*(1+HLOOKUP(Participant!$D$13,CF_Analysis!$U$18:$AA$118,CF_Analysis!T24+1,FALSE))^-T24,IF(ISNUMBER(J24),J24*(1+HLOOKUP(Participant!$D$13,CF_Analysis!$U$18:$AA$118,CF_Analysis!T24+1,FALSE))^-T24,"-")))</f>
        <v>-</v>
      </c>
      <c r="AC24">
        <v>6</v>
      </c>
      <c r="AD24" s="333">
        <v>-0.00443</v>
      </c>
      <c r="AE24" s="333">
        <v>-0.00832</v>
      </c>
      <c r="AF24" s="333">
        <v>-0.00454</v>
      </c>
      <c r="AG24" s="333">
        <v>0.00246</v>
      </c>
      <c r="AH24" s="333">
        <v>0.04345</v>
      </c>
      <c r="AI24" s="333">
        <v>0.01029</v>
      </c>
      <c r="AJ24" s="333">
        <v>-0.00173</v>
      </c>
      <c r="AK24" s="336" t="str">
        <f>IF(Participant!$D$13="-","-",IF(Q24&lt;&gt;0,Q24*(1+HLOOKUP(Participant!$D$13,$AD$18:$AJ$118,CF_Analysis!AC24+1,FALSE))^-AC24,IF(ISNUMBER(R24),R24*(1+HLOOKUP(Participant!$D$13,$AD$18:$AJ$118,CF_Analysis!AC24+1,FALSE))^-AC24,"-")))</f>
        <v>-</v>
      </c>
      <c r="AL24" s="71" t="s">
        <v>0</v>
      </c>
      <c r="AM24" s="51"/>
    </row>
    <row r="25" spans="1:39" ht="15" customHeight="1">
      <c r="A25" s="93"/>
      <c r="C25" s="274">
        <v>7</v>
      </c>
      <c r="D25" s="282" t="s">
        <v>9</v>
      </c>
      <c r="E25" s="282" t="s">
        <v>9</v>
      </c>
      <c r="F25" s="279" t="s">
        <v>9</v>
      </c>
      <c r="G25" s="120">
        <f t="shared" si="0"/>
        <v>0</v>
      </c>
      <c r="H25" s="278" t="s">
        <v>9</v>
      </c>
      <c r="I25" s="120">
        <f t="shared" si="1"/>
        <v>0</v>
      </c>
      <c r="J25" s="424" t="s">
        <v>9</v>
      </c>
      <c r="K25" s="182"/>
      <c r="L25" s="282" t="s">
        <v>9</v>
      </c>
      <c r="M25" s="418" t="s">
        <v>9</v>
      </c>
      <c r="N25" s="279" t="s">
        <v>9</v>
      </c>
      <c r="O25" s="120">
        <f t="shared" si="2"/>
        <v>0</v>
      </c>
      <c r="P25" s="278" t="s">
        <v>9</v>
      </c>
      <c r="Q25" s="120">
        <f t="shared" si="3"/>
        <v>0</v>
      </c>
      <c r="R25" s="231" t="s">
        <v>9</v>
      </c>
      <c r="S25" s="71" t="s">
        <v>0</v>
      </c>
      <c r="T25">
        <v>7</v>
      </c>
      <c r="U25" s="333">
        <v>0.00215</v>
      </c>
      <c r="V25" s="333">
        <v>-0.00192</v>
      </c>
      <c r="W25" s="333">
        <v>0.00205</v>
      </c>
      <c r="X25" s="334">
        <v>0.00873</v>
      </c>
      <c r="Y25" s="335">
        <v>0.04872</v>
      </c>
      <c r="Z25" s="335">
        <v>0.01658</v>
      </c>
      <c r="AA25" s="335">
        <v>0.00557</v>
      </c>
      <c r="AB25" s="336" t="str">
        <f>IF(Participant!$D$13="-","-",IF(I25&lt;&gt;0,I25*(1+HLOOKUP(Participant!$D$13,CF_Analysis!$U$18:$AA$118,CF_Analysis!T25+1,FALSE))^-T25,IF(ISNUMBER(J25),J25*(1+HLOOKUP(Participant!$D$13,CF_Analysis!$U$18:$AA$118,CF_Analysis!T25+1,FALSE))^-T25,"-")))</f>
        <v>-</v>
      </c>
      <c r="AC25">
        <v>7</v>
      </c>
      <c r="AD25" s="333">
        <v>-0.00315</v>
      </c>
      <c r="AE25" s="333">
        <v>-0.00722</v>
      </c>
      <c r="AF25" s="333">
        <v>-0.00325</v>
      </c>
      <c r="AG25" s="333">
        <v>0.00343</v>
      </c>
      <c r="AH25" s="333">
        <v>0.04342</v>
      </c>
      <c r="AI25" s="333">
        <v>0.01128</v>
      </c>
      <c r="AJ25" s="333">
        <v>0.00027</v>
      </c>
      <c r="AK25" s="336" t="str">
        <f>IF(Participant!$D$13="-","-",IF(Q25&lt;&gt;0,Q25*(1+HLOOKUP(Participant!$D$13,$AD$18:$AJ$118,CF_Analysis!AC25+1,FALSE))^-AC25,IF(ISNUMBER(R25),R25*(1+HLOOKUP(Participant!$D$13,$AD$18:$AJ$118,CF_Analysis!AC25+1,FALSE))^-AC25,"-")))</f>
        <v>-</v>
      </c>
      <c r="AL25" s="71" t="s">
        <v>0</v>
      </c>
      <c r="AM25" s="51"/>
    </row>
    <row r="26" spans="1:39" ht="15" customHeight="1">
      <c r="A26" s="93"/>
      <c r="C26" s="275">
        <v>8</v>
      </c>
      <c r="D26" s="282" t="s">
        <v>9</v>
      </c>
      <c r="E26" s="282" t="s">
        <v>9</v>
      </c>
      <c r="F26" s="279" t="s">
        <v>9</v>
      </c>
      <c r="G26" s="120">
        <f t="shared" si="0"/>
        <v>0</v>
      </c>
      <c r="H26" s="278" t="s">
        <v>9</v>
      </c>
      <c r="I26" s="120">
        <f t="shared" si="1"/>
        <v>0</v>
      </c>
      <c r="J26" s="424" t="s">
        <v>9</v>
      </c>
      <c r="K26" s="182"/>
      <c r="L26" s="282" t="s">
        <v>9</v>
      </c>
      <c r="M26" s="418" t="s">
        <v>9</v>
      </c>
      <c r="N26" s="279" t="s">
        <v>9</v>
      </c>
      <c r="O26" s="120">
        <f t="shared" si="2"/>
        <v>0</v>
      </c>
      <c r="P26" s="278" t="s">
        <v>9</v>
      </c>
      <c r="Q26" s="120">
        <f t="shared" si="3"/>
        <v>0</v>
      </c>
      <c r="R26" s="231" t="s">
        <v>9</v>
      </c>
      <c r="S26" s="71" t="s">
        <v>0</v>
      </c>
      <c r="T26">
        <v>8</v>
      </c>
      <c r="U26" s="333">
        <v>0.00341</v>
      </c>
      <c r="V26" s="333">
        <v>-0.00119</v>
      </c>
      <c r="W26" s="333">
        <v>0.0033</v>
      </c>
      <c r="X26" s="334">
        <v>0.00948</v>
      </c>
      <c r="Y26" s="335">
        <v>0.04865</v>
      </c>
      <c r="Z26" s="335">
        <v>0.01747</v>
      </c>
      <c r="AA26" s="335">
        <v>0.00735</v>
      </c>
      <c r="AB26" s="336" t="str">
        <f>IF(Participant!$D$13="-","-",IF(I26&lt;&gt;0,I26*(1+HLOOKUP(Participant!$D$13,CF_Analysis!$U$18:$AA$118,CF_Analysis!T26+1,FALSE))^-T26,IF(ISNUMBER(J26),J26*(1+HLOOKUP(Participant!$D$13,CF_Analysis!$U$18:$AA$118,CF_Analysis!T26+1,FALSE))^-T26,"-")))</f>
        <v>-</v>
      </c>
      <c r="AC26">
        <v>8</v>
      </c>
      <c r="AD26" s="333">
        <v>-0.00182</v>
      </c>
      <c r="AE26" s="333">
        <v>-0.00642</v>
      </c>
      <c r="AF26" s="333">
        <v>-0.00193</v>
      </c>
      <c r="AG26" s="333">
        <v>0.00425</v>
      </c>
      <c r="AH26" s="333">
        <v>0.04342</v>
      </c>
      <c r="AI26" s="333">
        <v>0.01224</v>
      </c>
      <c r="AJ26" s="333">
        <v>0.00212</v>
      </c>
      <c r="AK26" s="336" t="str">
        <f>IF(Participant!$D$13="-","-",IF(Q26&lt;&gt;0,Q26*(1+HLOOKUP(Participant!$D$13,$AD$18:$AJ$118,CF_Analysis!AC26+1,FALSE))^-AC26,IF(ISNUMBER(R26),R26*(1+HLOOKUP(Participant!$D$13,$AD$18:$AJ$118,CF_Analysis!AC26+1,FALSE))^-AC26,"-")))</f>
        <v>-</v>
      </c>
      <c r="AL26" s="71" t="s">
        <v>0</v>
      </c>
      <c r="AM26" s="51"/>
    </row>
    <row r="27" spans="1:39" ht="15" customHeight="1">
      <c r="A27" s="74"/>
      <c r="B27" s="138"/>
      <c r="C27" s="274">
        <v>9</v>
      </c>
      <c r="D27" s="282" t="s">
        <v>9</v>
      </c>
      <c r="E27" s="282" t="s">
        <v>9</v>
      </c>
      <c r="F27" s="279" t="s">
        <v>9</v>
      </c>
      <c r="G27" s="120">
        <f t="shared" si="0"/>
        <v>0</v>
      </c>
      <c r="H27" s="278" t="s">
        <v>9</v>
      </c>
      <c r="I27" s="120">
        <f t="shared" si="1"/>
        <v>0</v>
      </c>
      <c r="J27" s="424" t="s">
        <v>9</v>
      </c>
      <c r="K27" s="182"/>
      <c r="L27" s="282" t="s">
        <v>9</v>
      </c>
      <c r="M27" s="418" t="s">
        <v>9</v>
      </c>
      <c r="N27" s="279" t="s">
        <v>9</v>
      </c>
      <c r="O27" s="120">
        <f t="shared" si="2"/>
        <v>0</v>
      </c>
      <c r="P27" s="278" t="s">
        <v>9</v>
      </c>
      <c r="Q27" s="120">
        <f t="shared" si="3"/>
        <v>0</v>
      </c>
      <c r="R27" s="231" t="s">
        <v>9</v>
      </c>
      <c r="S27" s="71" t="s">
        <v>0</v>
      </c>
      <c r="T27">
        <v>9</v>
      </c>
      <c r="U27" s="333">
        <v>0.00461</v>
      </c>
      <c r="V27" s="333">
        <v>-0.00013</v>
      </c>
      <c r="W27" s="333">
        <v>0.00451</v>
      </c>
      <c r="X27" s="334">
        <v>0.01017</v>
      </c>
      <c r="Y27" s="335">
        <v>0.04855</v>
      </c>
      <c r="Z27" s="335">
        <v>0.01816</v>
      </c>
      <c r="AA27" s="335">
        <v>0.00889</v>
      </c>
      <c r="AB27" s="336" t="str">
        <f>IF(Participant!$D$13="-","-",IF(I27&lt;&gt;0,I27*(1+HLOOKUP(Participant!$D$13,CF_Analysis!$U$18:$AA$118,CF_Analysis!T27+1,FALSE))^-T27,IF(ISNUMBER(J27),J27*(1+HLOOKUP(Participant!$D$13,CF_Analysis!$U$18:$AA$118,CF_Analysis!T27+1,FALSE))^-T27,"-")))</f>
        <v>-</v>
      </c>
      <c r="AC27">
        <v>9</v>
      </c>
      <c r="AD27" s="333">
        <v>-0.00056</v>
      </c>
      <c r="AE27" s="333">
        <v>-0.0053</v>
      </c>
      <c r="AF27" s="333">
        <v>-0.00066</v>
      </c>
      <c r="AG27" s="333">
        <v>0.005</v>
      </c>
      <c r="AH27" s="333">
        <v>0.04338</v>
      </c>
      <c r="AI27" s="333">
        <v>0.01299</v>
      </c>
      <c r="AJ27" s="333">
        <v>0.00372</v>
      </c>
      <c r="AK27" s="336" t="str">
        <f>IF(Participant!$D$13="-","-",IF(Q27&lt;&gt;0,Q27*(1+HLOOKUP(Participant!$D$13,$AD$18:$AJ$118,CF_Analysis!AC27+1,FALSE))^-AC27,IF(ISNUMBER(R27),R27*(1+HLOOKUP(Participant!$D$13,$AD$18:$AJ$118,CF_Analysis!AC27+1,FALSE))^-AC27,"-")))</f>
        <v>-</v>
      </c>
      <c r="AL27" s="71" t="s">
        <v>0</v>
      </c>
      <c r="AM27" s="51"/>
    </row>
    <row r="28" spans="1:39" ht="15" customHeight="1">
      <c r="A28" s="74"/>
      <c r="B28" s="138"/>
      <c r="C28" s="275">
        <v>10</v>
      </c>
      <c r="D28" s="282" t="s">
        <v>9</v>
      </c>
      <c r="E28" s="282" t="s">
        <v>9</v>
      </c>
      <c r="F28" s="279" t="s">
        <v>9</v>
      </c>
      <c r="G28" s="120">
        <f t="shared" si="0"/>
        <v>0</v>
      </c>
      <c r="H28" s="278" t="s">
        <v>9</v>
      </c>
      <c r="I28" s="120">
        <f t="shared" si="1"/>
        <v>0</v>
      </c>
      <c r="J28" s="424" t="s">
        <v>9</v>
      </c>
      <c r="K28" s="182"/>
      <c r="L28" s="282" t="s">
        <v>9</v>
      </c>
      <c r="M28" s="418" t="s">
        <v>9</v>
      </c>
      <c r="N28" s="279" t="s">
        <v>9</v>
      </c>
      <c r="O28" s="120">
        <f t="shared" si="2"/>
        <v>0</v>
      </c>
      <c r="P28" s="278" t="s">
        <v>9</v>
      </c>
      <c r="Q28" s="120">
        <f t="shared" si="3"/>
        <v>0</v>
      </c>
      <c r="R28" s="231" t="s">
        <v>9</v>
      </c>
      <c r="S28" s="71" t="s">
        <v>0</v>
      </c>
      <c r="T28">
        <v>10</v>
      </c>
      <c r="U28" s="333">
        <v>0.00571</v>
      </c>
      <c r="V28" s="333">
        <v>0.00049</v>
      </c>
      <c r="W28" s="333">
        <v>0.00561</v>
      </c>
      <c r="X28" s="334">
        <v>0.01079</v>
      </c>
      <c r="Y28" s="335">
        <v>0.04843</v>
      </c>
      <c r="Z28" s="335">
        <v>0.01874</v>
      </c>
      <c r="AA28" s="335">
        <v>0.01026</v>
      </c>
      <c r="AB28" s="336" t="str">
        <f>IF(Participant!$D$13="-","-",IF(I28&lt;&gt;0,I28*(1+HLOOKUP(Participant!$D$13,CF_Analysis!$U$18:$AA$118,CF_Analysis!T28+1,FALSE))^-T28,IF(ISNUMBER(J28),J28*(1+HLOOKUP(Participant!$D$13,CF_Analysis!$U$18:$AA$118,CF_Analysis!T28+1,FALSE))^-T28,"-")))</f>
        <v>-</v>
      </c>
      <c r="AC28">
        <v>10</v>
      </c>
      <c r="AD28" s="333">
        <v>0.00061</v>
      </c>
      <c r="AE28" s="333">
        <v>-0.00461</v>
      </c>
      <c r="AF28" s="333">
        <v>0.00051</v>
      </c>
      <c r="AG28" s="333">
        <v>0.00569</v>
      </c>
      <c r="AH28" s="333">
        <v>0.04333</v>
      </c>
      <c r="AI28" s="333">
        <v>0.01364</v>
      </c>
      <c r="AJ28" s="333">
        <v>0.00516</v>
      </c>
      <c r="AK28" s="336" t="str">
        <f>IF(Participant!$D$13="-","-",IF(Q28&lt;&gt;0,Q28*(1+HLOOKUP(Participant!$D$13,$AD$18:$AJ$118,CF_Analysis!AC28+1,FALSE))^-AC28,IF(ISNUMBER(R28),R28*(1+HLOOKUP(Participant!$D$13,$AD$18:$AJ$118,CF_Analysis!AC28+1,FALSE))^-AC28,"-")))</f>
        <v>-</v>
      </c>
      <c r="AL28" s="71" t="s">
        <v>0</v>
      </c>
      <c r="AM28" s="51"/>
    </row>
    <row r="29" spans="1:39" ht="15" customHeight="1">
      <c r="A29" s="74"/>
      <c r="B29" s="138"/>
      <c r="C29" s="274">
        <v>11</v>
      </c>
      <c r="D29" s="282" t="s">
        <v>9</v>
      </c>
      <c r="E29" s="282" t="s">
        <v>9</v>
      </c>
      <c r="F29" s="279" t="s">
        <v>9</v>
      </c>
      <c r="G29" s="120">
        <f t="shared" si="0"/>
        <v>0</v>
      </c>
      <c r="H29" s="278" t="s">
        <v>9</v>
      </c>
      <c r="I29" s="120">
        <f t="shared" si="1"/>
        <v>0</v>
      </c>
      <c r="J29" s="424" t="s">
        <v>9</v>
      </c>
      <c r="K29" s="182"/>
      <c r="L29" s="282" t="s">
        <v>9</v>
      </c>
      <c r="M29" s="418" t="s">
        <v>9</v>
      </c>
      <c r="N29" s="279" t="s">
        <v>9</v>
      </c>
      <c r="O29" s="120">
        <f t="shared" si="2"/>
        <v>0</v>
      </c>
      <c r="P29" s="278" t="s">
        <v>9</v>
      </c>
      <c r="Q29" s="120">
        <f t="shared" si="3"/>
        <v>0</v>
      </c>
      <c r="R29" s="231" t="s">
        <v>9</v>
      </c>
      <c r="S29" s="71" t="s">
        <v>0</v>
      </c>
      <c r="T29">
        <v>11</v>
      </c>
      <c r="U29" s="333">
        <v>0.00671</v>
      </c>
      <c r="V29" s="333">
        <v>0.00135</v>
      </c>
      <c r="W29" s="333">
        <v>0.0066</v>
      </c>
      <c r="X29" s="334">
        <v>0.01135</v>
      </c>
      <c r="Y29" s="335">
        <v>0.0483</v>
      </c>
      <c r="Z29" s="335">
        <v>0.01937</v>
      </c>
      <c r="AA29" s="335">
        <v>0.01196</v>
      </c>
      <c r="AB29" s="336" t="str">
        <f>IF(Participant!$D$13="-","-",IF(I29&lt;&gt;0,I29*(1+HLOOKUP(Participant!$D$13,CF_Analysis!$U$18:$AA$118,CF_Analysis!T29+1,FALSE))^-T29,IF(ISNUMBER(J29),J29*(1+HLOOKUP(Participant!$D$13,CF_Analysis!$U$18:$AA$118,CF_Analysis!T29+1,FALSE))^-T29,"-")))</f>
        <v>-</v>
      </c>
      <c r="AC29">
        <v>11</v>
      </c>
      <c r="AD29" s="333">
        <v>0.00166</v>
      </c>
      <c r="AE29" s="333">
        <v>-0.0037</v>
      </c>
      <c r="AF29" s="333">
        <v>0.00155</v>
      </c>
      <c r="AG29" s="333">
        <v>0.0063</v>
      </c>
      <c r="AH29" s="333">
        <v>0.04325</v>
      </c>
      <c r="AI29" s="333">
        <v>0.01432</v>
      </c>
      <c r="AJ29" s="333">
        <v>0.00691</v>
      </c>
      <c r="AK29" s="336" t="str">
        <f>IF(Participant!$D$13="-","-",IF(Q29&lt;&gt;0,Q29*(1+HLOOKUP(Participant!$D$13,$AD$18:$AJ$118,CF_Analysis!AC29+1,FALSE))^-AC29,IF(ISNUMBER(R29),R29*(1+HLOOKUP(Participant!$D$13,$AD$18:$AJ$118,CF_Analysis!AC29+1,FALSE))^-AC29,"-")))</f>
        <v>-</v>
      </c>
      <c r="AL29" s="71" t="s">
        <v>0</v>
      </c>
      <c r="AM29" s="51"/>
    </row>
    <row r="30" spans="1:39" ht="15" customHeight="1">
      <c r="A30" s="74"/>
      <c r="B30" s="138"/>
      <c r="C30" s="275">
        <v>12</v>
      </c>
      <c r="D30" s="282" t="s">
        <v>9</v>
      </c>
      <c r="E30" s="282" t="s">
        <v>9</v>
      </c>
      <c r="F30" s="279" t="s">
        <v>9</v>
      </c>
      <c r="G30" s="120">
        <f t="shared" si="0"/>
        <v>0</v>
      </c>
      <c r="H30" s="278" t="s">
        <v>9</v>
      </c>
      <c r="I30" s="120">
        <f t="shared" si="1"/>
        <v>0</v>
      </c>
      <c r="J30" s="424" t="s">
        <v>9</v>
      </c>
      <c r="K30" s="182"/>
      <c r="L30" s="282" t="s">
        <v>9</v>
      </c>
      <c r="M30" s="418" t="s">
        <v>9</v>
      </c>
      <c r="N30" s="279" t="s">
        <v>9</v>
      </c>
      <c r="O30" s="120">
        <f t="shared" si="2"/>
        <v>0</v>
      </c>
      <c r="P30" s="278" t="s">
        <v>9</v>
      </c>
      <c r="Q30" s="120">
        <f t="shared" si="3"/>
        <v>0</v>
      </c>
      <c r="R30" s="231" t="s">
        <v>9</v>
      </c>
      <c r="S30" s="71" t="s">
        <v>0</v>
      </c>
      <c r="T30">
        <v>12</v>
      </c>
      <c r="U30" s="333">
        <v>0.0076</v>
      </c>
      <c r="V30" s="333">
        <v>0.00204</v>
      </c>
      <c r="W30" s="333">
        <v>0.0075</v>
      </c>
      <c r="X30" s="334">
        <v>0.0117</v>
      </c>
      <c r="Y30" s="335">
        <v>0.04816</v>
      </c>
      <c r="Z30" s="335">
        <v>0.02004</v>
      </c>
      <c r="AA30" s="335">
        <v>0.01379</v>
      </c>
      <c r="AB30" s="336" t="str">
        <f>IF(Participant!$D$13="-","-",IF(I30&lt;&gt;0,I30*(1+HLOOKUP(Participant!$D$13,CF_Analysis!$U$18:$AA$118,CF_Analysis!T30+1,FALSE))^-T30,IF(ISNUMBER(J30),J30*(1+HLOOKUP(Participant!$D$13,CF_Analysis!$U$18:$AA$118,CF_Analysis!T30+1,FALSE))^-T30,"-")))</f>
        <v>-</v>
      </c>
      <c r="AC30">
        <v>12</v>
      </c>
      <c r="AD30" s="333">
        <v>0.0026</v>
      </c>
      <c r="AE30" s="333">
        <v>-0.00296</v>
      </c>
      <c r="AF30" s="333">
        <v>0.0025</v>
      </c>
      <c r="AG30" s="333">
        <v>0.0067</v>
      </c>
      <c r="AH30" s="333">
        <v>0.04316</v>
      </c>
      <c r="AI30" s="333">
        <v>0.01504</v>
      </c>
      <c r="AJ30" s="333">
        <v>0.00879</v>
      </c>
      <c r="AK30" s="336" t="str">
        <f>IF(Participant!$D$13="-","-",IF(Q30&lt;&gt;0,Q30*(1+HLOOKUP(Participant!$D$13,$AD$18:$AJ$118,CF_Analysis!AC30+1,FALSE))^-AC30,IF(ISNUMBER(R30),R30*(1+HLOOKUP(Participant!$D$13,$AD$18:$AJ$118,CF_Analysis!AC30+1,FALSE))^-AC30,"-")))</f>
        <v>-</v>
      </c>
      <c r="AL30" s="71" t="s">
        <v>0</v>
      </c>
      <c r="AM30" s="51"/>
    </row>
    <row r="31" spans="1:39" ht="15" customHeight="1">
      <c r="A31" s="277"/>
      <c r="B31" s="277"/>
      <c r="C31" s="274">
        <v>13</v>
      </c>
      <c r="D31" s="282" t="s">
        <v>9</v>
      </c>
      <c r="E31" s="282" t="s">
        <v>9</v>
      </c>
      <c r="F31" s="279" t="s">
        <v>9</v>
      </c>
      <c r="G31" s="120">
        <f t="shared" si="0"/>
        <v>0</v>
      </c>
      <c r="H31" s="278" t="s">
        <v>9</v>
      </c>
      <c r="I31" s="120">
        <f t="shared" si="1"/>
        <v>0</v>
      </c>
      <c r="J31" s="424" t="s">
        <v>9</v>
      </c>
      <c r="K31" s="182"/>
      <c r="L31" s="282" t="s">
        <v>9</v>
      </c>
      <c r="M31" s="418" t="s">
        <v>9</v>
      </c>
      <c r="N31" s="279" t="s">
        <v>9</v>
      </c>
      <c r="O31" s="120">
        <f t="shared" si="2"/>
        <v>0</v>
      </c>
      <c r="P31" s="278" t="s">
        <v>9</v>
      </c>
      <c r="Q31" s="120">
        <f t="shared" si="3"/>
        <v>0</v>
      </c>
      <c r="R31" s="231" t="s">
        <v>9</v>
      </c>
      <c r="S31" s="71" t="s">
        <v>0</v>
      </c>
      <c r="T31">
        <v>13</v>
      </c>
      <c r="U31" s="333">
        <v>0.00841</v>
      </c>
      <c r="V31" s="333">
        <v>0.00248</v>
      </c>
      <c r="W31" s="333">
        <v>0.0083</v>
      </c>
      <c r="X31" s="334">
        <v>0.01209</v>
      </c>
      <c r="Y31" s="335">
        <v>0.04801</v>
      </c>
      <c r="Z31" s="335">
        <v>0.02072</v>
      </c>
      <c r="AA31" s="335">
        <v>0.01559</v>
      </c>
      <c r="AB31" s="336" t="str">
        <f>IF(Participant!$D$13="-","-",IF(I31&lt;&gt;0,I31*(1+HLOOKUP(Participant!$D$13,CF_Analysis!$U$18:$AA$118,CF_Analysis!T31+1,FALSE))^-T31,IF(ISNUMBER(J31),J31*(1+HLOOKUP(Participant!$D$13,CF_Analysis!$U$18:$AA$118,CF_Analysis!T31+1,FALSE))^-T31,"-")))</f>
        <v>-</v>
      </c>
      <c r="AC31">
        <v>13</v>
      </c>
      <c r="AD31" s="333">
        <v>0.00346</v>
      </c>
      <c r="AE31" s="333">
        <v>-0.00247</v>
      </c>
      <c r="AF31" s="333">
        <v>0.00335</v>
      </c>
      <c r="AG31" s="333">
        <v>0.00714</v>
      </c>
      <c r="AH31" s="333">
        <v>0.04306</v>
      </c>
      <c r="AI31" s="333">
        <v>0.01577</v>
      </c>
      <c r="AJ31" s="333">
        <v>0.01064</v>
      </c>
      <c r="AK31" s="336" t="str">
        <f>IF(Participant!$D$13="-","-",IF(Q31&lt;&gt;0,Q31*(1+HLOOKUP(Participant!$D$13,$AD$18:$AJ$118,CF_Analysis!AC31+1,FALSE))^-AC31,IF(ISNUMBER(R31),R31*(1+HLOOKUP(Participant!$D$13,$AD$18:$AJ$118,CF_Analysis!AC31+1,FALSE))^-AC31,"-")))</f>
        <v>-</v>
      </c>
      <c r="AL31" s="71" t="s">
        <v>0</v>
      </c>
      <c r="AM31" s="51"/>
    </row>
    <row r="32" spans="1:39" ht="15" customHeight="1">
      <c r="A32" s="138"/>
      <c r="B32" s="138"/>
      <c r="C32" s="275">
        <v>14</v>
      </c>
      <c r="D32" s="282" t="s">
        <v>9</v>
      </c>
      <c r="E32" s="282" t="s">
        <v>9</v>
      </c>
      <c r="F32" s="279" t="s">
        <v>9</v>
      </c>
      <c r="G32" s="120">
        <f t="shared" si="0"/>
        <v>0</v>
      </c>
      <c r="H32" s="278" t="s">
        <v>9</v>
      </c>
      <c r="I32" s="120">
        <f t="shared" si="1"/>
        <v>0</v>
      </c>
      <c r="J32" s="424" t="s">
        <v>9</v>
      </c>
      <c r="K32" s="182"/>
      <c r="L32" s="282" t="s">
        <v>9</v>
      </c>
      <c r="M32" s="418" t="s">
        <v>9</v>
      </c>
      <c r="N32" s="279" t="s">
        <v>9</v>
      </c>
      <c r="O32" s="120">
        <f t="shared" si="2"/>
        <v>0</v>
      </c>
      <c r="P32" s="278" t="s">
        <v>9</v>
      </c>
      <c r="Q32" s="120">
        <f t="shared" si="3"/>
        <v>0</v>
      </c>
      <c r="R32" s="231" t="s">
        <v>9</v>
      </c>
      <c r="S32" s="71" t="s">
        <v>0</v>
      </c>
      <c r="T32">
        <v>14</v>
      </c>
      <c r="U32" s="333">
        <v>0.00908</v>
      </c>
      <c r="V32" s="333">
        <v>0.00276</v>
      </c>
      <c r="W32" s="333">
        <v>0.00897</v>
      </c>
      <c r="X32" s="334">
        <v>0.0124</v>
      </c>
      <c r="Y32" s="335">
        <v>0.04786</v>
      </c>
      <c r="Z32" s="335">
        <v>0.02141</v>
      </c>
      <c r="AA32" s="335">
        <v>0.01725</v>
      </c>
      <c r="AB32" s="336" t="str">
        <f>IF(Participant!$D$13="-","-",IF(I32&lt;&gt;0,I32*(1+HLOOKUP(Participant!$D$13,CF_Analysis!$U$18:$AA$118,CF_Analysis!T32+1,FALSE))^-T32,IF(ISNUMBER(J32),J32*(1+HLOOKUP(Participant!$D$13,CF_Analysis!$U$18:$AA$118,CF_Analysis!T32+1,FALSE))^-T32,"-")))</f>
        <v>-</v>
      </c>
      <c r="AC32">
        <v>14</v>
      </c>
      <c r="AD32" s="333">
        <v>0.00418</v>
      </c>
      <c r="AE32" s="333">
        <v>-0.00214</v>
      </c>
      <c r="AF32" s="333">
        <v>0.00407</v>
      </c>
      <c r="AG32" s="333">
        <v>0.0075</v>
      </c>
      <c r="AH32" s="333">
        <v>0.04296</v>
      </c>
      <c r="AI32" s="333">
        <v>0.01651</v>
      </c>
      <c r="AJ32" s="333">
        <v>0.01235</v>
      </c>
      <c r="AK32" s="336" t="str">
        <f>IF(Participant!$D$13="-","-",IF(Q32&lt;&gt;0,Q32*(1+HLOOKUP(Participant!$D$13,$AD$18:$AJ$118,CF_Analysis!AC32+1,FALSE))^-AC32,IF(ISNUMBER(R32),R32*(1+HLOOKUP(Participant!$D$13,$AD$18:$AJ$118,CF_Analysis!AC32+1,FALSE))^-AC32,"-")))</f>
        <v>-</v>
      </c>
      <c r="AL32" s="71" t="s">
        <v>0</v>
      </c>
      <c r="AM32" s="51"/>
    </row>
    <row r="33" spans="3:39" ht="15" customHeight="1">
      <c r="C33" s="274">
        <v>15</v>
      </c>
      <c r="D33" s="282" t="s">
        <v>9</v>
      </c>
      <c r="E33" s="282" t="s">
        <v>9</v>
      </c>
      <c r="F33" s="279" t="s">
        <v>9</v>
      </c>
      <c r="G33" s="120">
        <f t="shared" si="0"/>
        <v>0</v>
      </c>
      <c r="H33" s="278" t="s">
        <v>9</v>
      </c>
      <c r="I33" s="120">
        <f t="shared" si="1"/>
        <v>0</v>
      </c>
      <c r="J33" s="424" t="s">
        <v>9</v>
      </c>
      <c r="K33" s="182"/>
      <c r="L33" s="282" t="s">
        <v>9</v>
      </c>
      <c r="M33" s="418" t="s">
        <v>9</v>
      </c>
      <c r="N33" s="279" t="s">
        <v>9</v>
      </c>
      <c r="O33" s="120">
        <f t="shared" si="2"/>
        <v>0</v>
      </c>
      <c r="P33" s="278" t="s">
        <v>9</v>
      </c>
      <c r="Q33" s="120">
        <f t="shared" si="3"/>
        <v>0</v>
      </c>
      <c r="R33" s="231" t="s">
        <v>9</v>
      </c>
      <c r="S33" s="71" t="s">
        <v>0</v>
      </c>
      <c r="T33">
        <v>15</v>
      </c>
      <c r="U33" s="333">
        <v>0.00958</v>
      </c>
      <c r="V33" s="333">
        <v>0.00338</v>
      </c>
      <c r="W33" s="333">
        <v>0.00948</v>
      </c>
      <c r="X33" s="334">
        <v>0.01263</v>
      </c>
      <c r="Y33" s="335">
        <v>0.04772</v>
      </c>
      <c r="Z33" s="335">
        <v>0.02208</v>
      </c>
      <c r="AA33" s="335">
        <v>0.01878</v>
      </c>
      <c r="AB33" s="336" t="str">
        <f>IF(Participant!$D$13="-","-",IF(I33&lt;&gt;0,I33*(1+HLOOKUP(Participant!$D$13,CF_Analysis!$U$18:$AA$118,CF_Analysis!T33+1,FALSE))^-T33,IF(ISNUMBER(J33),J33*(1+HLOOKUP(Participant!$D$13,CF_Analysis!$U$18:$AA$118,CF_Analysis!T33+1,FALSE))^-T33,"-")))</f>
        <v>-</v>
      </c>
      <c r="AC33">
        <v>15</v>
      </c>
      <c r="AD33" s="333">
        <v>0.00473</v>
      </c>
      <c r="AE33" s="333">
        <v>-0.00147</v>
      </c>
      <c r="AF33" s="333">
        <v>0.00463</v>
      </c>
      <c r="AG33" s="333">
        <v>0.00778</v>
      </c>
      <c r="AH33" s="333">
        <v>0.04287</v>
      </c>
      <c r="AI33" s="333">
        <v>0.01723</v>
      </c>
      <c r="AJ33" s="333">
        <v>0.01393</v>
      </c>
      <c r="AK33" s="336" t="str">
        <f>IF(Participant!$D$13="-","-",IF(Q33&lt;&gt;0,Q33*(1+HLOOKUP(Participant!$D$13,$AD$18:$AJ$118,CF_Analysis!AC33+1,FALSE))^-AC33,IF(ISNUMBER(R33),R33*(1+HLOOKUP(Participant!$D$13,$AD$18:$AJ$118,CF_Analysis!AC33+1,FALSE))^-AC33,"-")))</f>
        <v>-</v>
      </c>
      <c r="AL33" s="71" t="s">
        <v>0</v>
      </c>
      <c r="AM33" s="51"/>
    </row>
    <row r="34" spans="3:39" ht="15" customHeight="1">
      <c r="C34" s="275">
        <v>16</v>
      </c>
      <c r="D34" s="282" t="s">
        <v>9</v>
      </c>
      <c r="E34" s="282" t="s">
        <v>9</v>
      </c>
      <c r="F34" s="279" t="s">
        <v>9</v>
      </c>
      <c r="G34" s="120">
        <f t="shared" si="0"/>
        <v>0</v>
      </c>
      <c r="H34" s="278" t="s">
        <v>9</v>
      </c>
      <c r="I34" s="120">
        <f t="shared" si="1"/>
        <v>0</v>
      </c>
      <c r="J34" s="424" t="s">
        <v>9</v>
      </c>
      <c r="K34" s="182"/>
      <c r="L34" s="282" t="s">
        <v>9</v>
      </c>
      <c r="M34" s="418" t="s">
        <v>9</v>
      </c>
      <c r="N34" s="279" t="s">
        <v>9</v>
      </c>
      <c r="O34" s="120">
        <f t="shared" si="2"/>
        <v>0</v>
      </c>
      <c r="P34" s="278" t="s">
        <v>9</v>
      </c>
      <c r="Q34" s="120">
        <f t="shared" si="3"/>
        <v>0</v>
      </c>
      <c r="R34" s="231" t="s">
        <v>9</v>
      </c>
      <c r="S34" s="71" t="s">
        <v>0</v>
      </c>
      <c r="T34">
        <v>16</v>
      </c>
      <c r="U34" s="333">
        <v>0.00993</v>
      </c>
      <c r="V34" s="333">
        <v>0.00389</v>
      </c>
      <c r="W34" s="333">
        <v>0.00982</v>
      </c>
      <c r="X34" s="334">
        <v>0.01282</v>
      </c>
      <c r="Y34" s="335">
        <v>0.04757</v>
      </c>
      <c r="Z34" s="335">
        <v>0.02273</v>
      </c>
      <c r="AA34" s="335">
        <v>0.02015</v>
      </c>
      <c r="AB34" s="336" t="str">
        <f>IF(Participant!$D$13="-","-",IF(I34&lt;&gt;0,I34*(1+HLOOKUP(Participant!$D$13,CF_Analysis!$U$18:$AA$118,CF_Analysis!T34+1,FALSE))^-T34,IF(ISNUMBER(J34),J34*(1+HLOOKUP(Participant!$D$13,CF_Analysis!$U$18:$AA$118,CF_Analysis!T34+1,FALSE))^-T34,"-")))</f>
        <v>-</v>
      </c>
      <c r="AC34">
        <v>16</v>
      </c>
      <c r="AD34" s="333">
        <v>0.00513</v>
      </c>
      <c r="AE34" s="333">
        <v>-0.00091</v>
      </c>
      <c r="AF34" s="333">
        <v>0.00502</v>
      </c>
      <c r="AG34" s="333">
        <v>0.00802</v>
      </c>
      <c r="AH34" s="333">
        <v>0.04277</v>
      </c>
      <c r="AI34" s="333">
        <v>0.01793</v>
      </c>
      <c r="AJ34" s="333">
        <v>0.01535</v>
      </c>
      <c r="AK34" s="336" t="str">
        <f>IF(Participant!$D$13="-","-",IF(Q34&lt;&gt;0,Q34*(1+HLOOKUP(Participant!$D$13,$AD$18:$AJ$118,CF_Analysis!AC34+1,FALSE))^-AC34,IF(ISNUMBER(R34),R34*(1+HLOOKUP(Participant!$D$13,$AD$18:$AJ$118,CF_Analysis!AC34+1,FALSE))^-AC34,"-")))</f>
        <v>-</v>
      </c>
      <c r="AL34" s="71" t="s">
        <v>0</v>
      </c>
      <c r="AM34" s="51"/>
    </row>
    <row r="35" spans="3:39" ht="15" customHeight="1">
      <c r="C35" s="274">
        <v>17</v>
      </c>
      <c r="D35" s="282" t="s">
        <v>9</v>
      </c>
      <c r="E35" s="282" t="s">
        <v>9</v>
      </c>
      <c r="F35" s="279" t="s">
        <v>9</v>
      </c>
      <c r="G35" s="120">
        <f t="shared" si="0"/>
        <v>0</v>
      </c>
      <c r="H35" s="278" t="s">
        <v>9</v>
      </c>
      <c r="I35" s="120">
        <f t="shared" si="1"/>
        <v>0</v>
      </c>
      <c r="J35" s="424" t="s">
        <v>9</v>
      </c>
      <c r="K35" s="182"/>
      <c r="L35" s="282" t="s">
        <v>9</v>
      </c>
      <c r="M35" s="418" t="s">
        <v>9</v>
      </c>
      <c r="N35" s="279" t="s">
        <v>9</v>
      </c>
      <c r="O35" s="120">
        <f t="shared" si="2"/>
        <v>0</v>
      </c>
      <c r="P35" s="278" t="s">
        <v>9</v>
      </c>
      <c r="Q35" s="120">
        <f t="shared" si="3"/>
        <v>0</v>
      </c>
      <c r="R35" s="231" t="s">
        <v>9</v>
      </c>
      <c r="S35" s="71" t="s">
        <v>0</v>
      </c>
      <c r="T35">
        <v>17</v>
      </c>
      <c r="U35" s="333">
        <v>0.01019</v>
      </c>
      <c r="V35" s="333">
        <v>0.0042</v>
      </c>
      <c r="W35" s="333">
        <v>0.01009</v>
      </c>
      <c r="X35" s="334">
        <v>0.01295</v>
      </c>
      <c r="Y35" s="335">
        <v>0.04743</v>
      </c>
      <c r="Z35" s="335">
        <v>0.02337</v>
      </c>
      <c r="AA35" s="335">
        <v>0.02139</v>
      </c>
      <c r="AB35" s="336" t="str">
        <f>IF(Participant!$D$13="-","-",IF(I35&lt;&gt;0,I35*(1+HLOOKUP(Participant!$D$13,CF_Analysis!$U$18:$AA$118,CF_Analysis!T35+1,FALSE))^-T35,IF(ISNUMBER(J35),J35*(1+HLOOKUP(Participant!$D$13,CF_Analysis!$U$18:$AA$118,CF_Analysis!T35+1,FALSE))^-T35,"-")))</f>
        <v>-</v>
      </c>
      <c r="AC35">
        <v>17</v>
      </c>
      <c r="AD35" s="333">
        <v>0.00544</v>
      </c>
      <c r="AE35" s="333">
        <v>-0.00055</v>
      </c>
      <c r="AF35" s="333">
        <v>0.00534</v>
      </c>
      <c r="AG35" s="333">
        <v>0.0082</v>
      </c>
      <c r="AH35" s="333">
        <v>0.04268</v>
      </c>
      <c r="AI35" s="333">
        <v>0.01862</v>
      </c>
      <c r="AJ35" s="333">
        <v>0.01664</v>
      </c>
      <c r="AK35" s="336" t="str">
        <f>IF(Participant!$D$13="-","-",IF(Q35&lt;&gt;0,Q35*(1+HLOOKUP(Participant!$D$13,$AD$18:$AJ$118,CF_Analysis!AC35+1,FALSE))^-AC35,IF(ISNUMBER(R35),R35*(1+HLOOKUP(Participant!$D$13,$AD$18:$AJ$118,CF_Analysis!AC35+1,FALSE))^-AC35,"-")))</f>
        <v>-</v>
      </c>
      <c r="AL35" s="71" t="s">
        <v>0</v>
      </c>
      <c r="AM35" s="51"/>
    </row>
    <row r="36" spans="3:39" ht="15" customHeight="1">
      <c r="C36" s="275">
        <v>18</v>
      </c>
      <c r="D36" s="282" t="s">
        <v>9</v>
      </c>
      <c r="E36" s="282" t="s">
        <v>9</v>
      </c>
      <c r="F36" s="279" t="s">
        <v>9</v>
      </c>
      <c r="G36" s="120">
        <f t="shared" si="0"/>
        <v>0</v>
      </c>
      <c r="H36" s="278" t="s">
        <v>9</v>
      </c>
      <c r="I36" s="120">
        <f t="shared" si="1"/>
        <v>0</v>
      </c>
      <c r="J36" s="424" t="s">
        <v>9</v>
      </c>
      <c r="K36" s="182"/>
      <c r="L36" s="282" t="s">
        <v>9</v>
      </c>
      <c r="M36" s="418" t="s">
        <v>9</v>
      </c>
      <c r="N36" s="279" t="s">
        <v>9</v>
      </c>
      <c r="O36" s="120">
        <f t="shared" si="2"/>
        <v>0</v>
      </c>
      <c r="P36" s="278" t="s">
        <v>9</v>
      </c>
      <c r="Q36" s="120">
        <f t="shared" si="3"/>
        <v>0</v>
      </c>
      <c r="R36" s="231" t="s">
        <v>9</v>
      </c>
      <c r="S36" s="71" t="s">
        <v>0</v>
      </c>
      <c r="T36">
        <v>18</v>
      </c>
      <c r="U36" s="333">
        <v>0.01046</v>
      </c>
      <c r="V36" s="333">
        <v>0.00439</v>
      </c>
      <c r="W36" s="333">
        <v>0.01035</v>
      </c>
      <c r="X36" s="334">
        <v>0.01302</v>
      </c>
      <c r="Y36" s="335">
        <v>0.04729</v>
      </c>
      <c r="Z36" s="335">
        <v>0.02398</v>
      </c>
      <c r="AA36" s="335">
        <v>0.0225</v>
      </c>
      <c r="AB36" s="336" t="str">
        <f>IF(Participant!$D$13="-","-",IF(I36&lt;&gt;0,I36*(1+HLOOKUP(Participant!$D$13,CF_Analysis!$U$18:$AA$118,CF_Analysis!T36+1,FALSE))^-T36,IF(ISNUMBER(J36),J36*(1+HLOOKUP(Participant!$D$13,CF_Analysis!$U$18:$AA$118,CF_Analysis!T36+1,FALSE))^-T36,"-")))</f>
        <v>-</v>
      </c>
      <c r="AC36">
        <v>18</v>
      </c>
      <c r="AD36" s="333">
        <v>0.00576</v>
      </c>
      <c r="AE36" s="333">
        <v>-0.00031</v>
      </c>
      <c r="AF36" s="333">
        <v>0.00565</v>
      </c>
      <c r="AG36" s="333">
        <v>0.00832</v>
      </c>
      <c r="AH36" s="333">
        <v>0.04259</v>
      </c>
      <c r="AI36" s="333">
        <v>0.01928</v>
      </c>
      <c r="AJ36" s="333">
        <v>0.0178</v>
      </c>
      <c r="AK36" s="336" t="str">
        <f>IF(Participant!$D$13="-","-",IF(Q36&lt;&gt;0,Q36*(1+HLOOKUP(Participant!$D$13,$AD$18:$AJ$118,CF_Analysis!AC36+1,FALSE))^-AC36,IF(ISNUMBER(R36),R36*(1+HLOOKUP(Participant!$D$13,$AD$18:$AJ$118,CF_Analysis!AC36+1,FALSE))^-AC36,"-")))</f>
        <v>-</v>
      </c>
      <c r="AL36" s="71" t="s">
        <v>0</v>
      </c>
      <c r="AM36" s="51"/>
    </row>
    <row r="37" spans="3:39" ht="15" customHeight="1">
      <c r="C37" s="274">
        <v>19</v>
      </c>
      <c r="D37" s="282" t="s">
        <v>9</v>
      </c>
      <c r="E37" s="282" t="s">
        <v>9</v>
      </c>
      <c r="F37" s="279" t="s">
        <v>9</v>
      </c>
      <c r="G37" s="120">
        <f t="shared" si="0"/>
        <v>0</v>
      </c>
      <c r="H37" s="278" t="s">
        <v>9</v>
      </c>
      <c r="I37" s="120">
        <f t="shared" si="1"/>
        <v>0</v>
      </c>
      <c r="J37" s="424" t="s">
        <v>9</v>
      </c>
      <c r="K37" s="182"/>
      <c r="L37" s="282" t="s">
        <v>9</v>
      </c>
      <c r="M37" s="418" t="s">
        <v>9</v>
      </c>
      <c r="N37" s="279" t="s">
        <v>9</v>
      </c>
      <c r="O37" s="120">
        <f t="shared" si="2"/>
        <v>0</v>
      </c>
      <c r="P37" s="278" t="s">
        <v>9</v>
      </c>
      <c r="Q37" s="120">
        <f t="shared" si="3"/>
        <v>0</v>
      </c>
      <c r="R37" s="231" t="s">
        <v>9</v>
      </c>
      <c r="S37" s="71" t="s">
        <v>0</v>
      </c>
      <c r="T37">
        <v>19</v>
      </c>
      <c r="U37" s="333">
        <v>0.01077</v>
      </c>
      <c r="V37" s="333">
        <v>0.0045</v>
      </c>
      <c r="W37" s="333">
        <v>0.01066</v>
      </c>
      <c r="X37" s="334">
        <v>0.01307</v>
      </c>
      <c r="Y37" s="335">
        <v>0.04715</v>
      </c>
      <c r="Z37" s="335">
        <v>0.02457</v>
      </c>
      <c r="AA37" s="335">
        <v>0.02351</v>
      </c>
      <c r="AB37" s="336" t="str">
        <f>IF(Participant!$D$13="-","-",IF(I37&lt;&gt;0,I37*(1+HLOOKUP(Participant!$D$13,CF_Analysis!$U$18:$AA$118,CF_Analysis!T37+1,FALSE))^-T37,IF(ISNUMBER(J37),J37*(1+HLOOKUP(Participant!$D$13,CF_Analysis!$U$18:$AA$118,CF_Analysis!T37+1,FALSE))^-T37,"-")))</f>
        <v>-</v>
      </c>
      <c r="AC37">
        <v>19</v>
      </c>
      <c r="AD37" s="333">
        <v>0.00612</v>
      </c>
      <c r="AE37" s="333">
        <v>-0.00015</v>
      </c>
      <c r="AF37" s="333">
        <v>0.00601</v>
      </c>
      <c r="AG37" s="333">
        <v>0.00842</v>
      </c>
      <c r="AH37" s="333">
        <v>0.0425</v>
      </c>
      <c r="AI37" s="333">
        <v>0.01992</v>
      </c>
      <c r="AJ37" s="333">
        <v>0.01886</v>
      </c>
      <c r="AK37" s="336" t="str">
        <f>IF(Participant!$D$13="-","-",IF(Q37&lt;&gt;0,Q37*(1+HLOOKUP(Participant!$D$13,$AD$18:$AJ$118,CF_Analysis!AC37+1,FALSE))^-AC37,IF(ISNUMBER(R37),R37*(1+HLOOKUP(Participant!$D$13,$AD$18:$AJ$118,CF_Analysis!AC37+1,FALSE))^-AC37,"-")))</f>
        <v>-</v>
      </c>
      <c r="AL37" s="71" t="s">
        <v>0</v>
      </c>
      <c r="AM37" s="51"/>
    </row>
    <row r="38" spans="3:39" ht="15" customHeight="1">
      <c r="C38" s="275">
        <v>20</v>
      </c>
      <c r="D38" s="282" t="s">
        <v>9</v>
      </c>
      <c r="E38" s="282" t="s">
        <v>9</v>
      </c>
      <c r="F38" s="279" t="s">
        <v>9</v>
      </c>
      <c r="G38" s="120">
        <f t="shared" si="0"/>
        <v>0</v>
      </c>
      <c r="H38" s="278" t="s">
        <v>9</v>
      </c>
      <c r="I38" s="120">
        <f t="shared" si="1"/>
        <v>0</v>
      </c>
      <c r="J38" s="424" t="s">
        <v>9</v>
      </c>
      <c r="K38" s="182"/>
      <c r="L38" s="282" t="s">
        <v>9</v>
      </c>
      <c r="M38" s="418" t="s">
        <v>9</v>
      </c>
      <c r="N38" s="279" t="s">
        <v>9</v>
      </c>
      <c r="O38" s="120">
        <f t="shared" si="2"/>
        <v>0</v>
      </c>
      <c r="P38" s="278" t="s">
        <v>9</v>
      </c>
      <c r="Q38" s="120">
        <f t="shared" si="3"/>
        <v>0</v>
      </c>
      <c r="R38" s="231" t="s">
        <v>9</v>
      </c>
      <c r="S38" s="71" t="s">
        <v>0</v>
      </c>
      <c r="T38">
        <v>20</v>
      </c>
      <c r="U38" s="333">
        <v>0.01117</v>
      </c>
      <c r="V38" s="333">
        <v>0.00457</v>
      </c>
      <c r="W38" s="333">
        <v>0.01107</v>
      </c>
      <c r="X38" s="334">
        <v>0.01316</v>
      </c>
      <c r="Y38" s="335">
        <v>0.04702</v>
      </c>
      <c r="Z38" s="335">
        <v>0.02513</v>
      </c>
      <c r="AA38" s="335">
        <v>0.02442</v>
      </c>
      <c r="AB38" s="336" t="str">
        <f>IF(Participant!$D$13="-","-",IF(I38&lt;&gt;0,I38*(1+HLOOKUP(Participant!$D$13,CF_Analysis!$U$18:$AA$118,CF_Analysis!T38+1,FALSE))^-T38,IF(ISNUMBER(J38),J38*(1+HLOOKUP(Participant!$D$13,CF_Analysis!$U$18:$AA$118,CF_Analysis!T38+1,FALSE))^-T38,"-")))</f>
        <v>-</v>
      </c>
      <c r="AC38">
        <v>20</v>
      </c>
      <c r="AD38" s="333">
        <v>0.00657</v>
      </c>
      <c r="AE38" s="333">
        <v>-3E-05</v>
      </c>
      <c r="AF38" s="333">
        <v>0.00647</v>
      </c>
      <c r="AG38" s="333">
        <v>0.00856</v>
      </c>
      <c r="AH38" s="333">
        <v>0.04242</v>
      </c>
      <c r="AI38" s="333">
        <v>0.02053</v>
      </c>
      <c r="AJ38" s="333">
        <v>0.01982</v>
      </c>
      <c r="AK38" s="336" t="str">
        <f>IF(Participant!$D$13="-","-",IF(Q38&lt;&gt;0,Q38*(1+HLOOKUP(Participant!$D$13,$AD$18:$AJ$118,CF_Analysis!AC38+1,FALSE))^-AC38,IF(ISNUMBER(R38),R38*(1+HLOOKUP(Participant!$D$13,$AD$18:$AJ$118,CF_Analysis!AC38+1,FALSE))^-AC38,"-")))</f>
        <v>-</v>
      </c>
      <c r="AL38" s="71" t="s">
        <v>0</v>
      </c>
      <c r="AM38" s="51"/>
    </row>
    <row r="39" spans="3:39" ht="15" customHeight="1">
      <c r="C39" s="274">
        <v>21</v>
      </c>
      <c r="D39" s="282" t="s">
        <v>9</v>
      </c>
      <c r="E39" s="282" t="s">
        <v>9</v>
      </c>
      <c r="F39" s="279" t="s">
        <v>9</v>
      </c>
      <c r="G39" s="120">
        <f t="shared" si="0"/>
        <v>0</v>
      </c>
      <c r="H39" s="278" t="s">
        <v>9</v>
      </c>
      <c r="I39" s="120">
        <f t="shared" si="1"/>
        <v>0</v>
      </c>
      <c r="J39" s="424" t="s">
        <v>9</v>
      </c>
      <c r="K39" s="182"/>
      <c r="L39" s="282" t="s">
        <v>9</v>
      </c>
      <c r="M39" s="418" t="s">
        <v>9</v>
      </c>
      <c r="N39" s="279" t="s">
        <v>9</v>
      </c>
      <c r="O39" s="120">
        <f t="shared" si="2"/>
        <v>0</v>
      </c>
      <c r="P39" s="278" t="s">
        <v>9</v>
      </c>
      <c r="Q39" s="120">
        <f t="shared" si="3"/>
        <v>0</v>
      </c>
      <c r="R39" s="231" t="s">
        <v>9</v>
      </c>
      <c r="S39" s="71" t="s">
        <v>0</v>
      </c>
      <c r="T39">
        <v>21</v>
      </c>
      <c r="U39" s="333">
        <v>0.01167</v>
      </c>
      <c r="V39" s="333">
        <v>0.00463</v>
      </c>
      <c r="W39" s="333">
        <v>0.01157</v>
      </c>
      <c r="X39" s="334">
        <v>0.01318</v>
      </c>
      <c r="Y39" s="335">
        <v>0.04689</v>
      </c>
      <c r="Z39" s="335">
        <v>0.02567</v>
      </c>
      <c r="AA39" s="335">
        <v>0.02524</v>
      </c>
      <c r="AB39" s="336" t="str">
        <f>IF(Participant!$D$13="-","-",IF(I39&lt;&gt;0,I39*(1+HLOOKUP(Participant!$D$13,CF_Analysis!$U$18:$AA$118,CF_Analysis!T39+1,FALSE))^-T39,IF(ISNUMBER(J39),J39*(1+HLOOKUP(Participant!$D$13,CF_Analysis!$U$18:$AA$118,CF_Analysis!T39+1,FALSE))^-T39,"-")))</f>
        <v>-</v>
      </c>
      <c r="AC39">
        <v>21</v>
      </c>
      <c r="AD39" s="333">
        <v>0.00706</v>
      </c>
      <c r="AE39" s="333">
        <v>2E-05</v>
      </c>
      <c r="AF39" s="333">
        <v>0.00696</v>
      </c>
      <c r="AG39" s="333">
        <v>0.00857</v>
      </c>
      <c r="AH39" s="333">
        <v>0.04228</v>
      </c>
      <c r="AI39" s="333">
        <v>0.02106</v>
      </c>
      <c r="AJ39" s="333">
        <v>0.02063</v>
      </c>
      <c r="AK39" s="336" t="str">
        <f>IF(Participant!$D$13="-","-",IF(Q39&lt;&gt;0,Q39*(1+HLOOKUP(Participant!$D$13,$AD$18:$AJ$118,CF_Analysis!AC39+1,FALSE))^-AC39,IF(ISNUMBER(R39),R39*(1+HLOOKUP(Participant!$D$13,$AD$18:$AJ$118,CF_Analysis!AC39+1,FALSE))^-AC39,"-")))</f>
        <v>-</v>
      </c>
      <c r="AL39" s="71" t="s">
        <v>0</v>
      </c>
      <c r="AM39" s="51"/>
    </row>
    <row r="40" spans="3:39" ht="15" customHeight="1">
      <c r="C40" s="275">
        <v>22</v>
      </c>
      <c r="D40" s="282" t="s">
        <v>9</v>
      </c>
      <c r="E40" s="282" t="s">
        <v>9</v>
      </c>
      <c r="F40" s="279" t="s">
        <v>9</v>
      </c>
      <c r="G40" s="120">
        <f t="shared" si="0"/>
        <v>0</v>
      </c>
      <c r="H40" s="278" t="s">
        <v>9</v>
      </c>
      <c r="I40" s="120">
        <f t="shared" si="1"/>
        <v>0</v>
      </c>
      <c r="J40" s="424" t="s">
        <v>9</v>
      </c>
      <c r="K40" s="182"/>
      <c r="L40" s="282" t="s">
        <v>9</v>
      </c>
      <c r="M40" s="418" t="s">
        <v>9</v>
      </c>
      <c r="N40" s="279" t="s">
        <v>9</v>
      </c>
      <c r="O40" s="120">
        <f t="shared" si="2"/>
        <v>0</v>
      </c>
      <c r="P40" s="278" t="s">
        <v>9</v>
      </c>
      <c r="Q40" s="120">
        <f t="shared" si="3"/>
        <v>0</v>
      </c>
      <c r="R40" s="231" t="s">
        <v>9</v>
      </c>
      <c r="S40" s="71" t="s">
        <v>0</v>
      </c>
      <c r="T40">
        <v>22</v>
      </c>
      <c r="U40" s="333">
        <v>0.01226</v>
      </c>
      <c r="V40" s="333">
        <v>0.0047</v>
      </c>
      <c r="W40" s="333">
        <v>0.01216</v>
      </c>
      <c r="X40" s="334">
        <v>0.01314</v>
      </c>
      <c r="Y40" s="335">
        <v>0.04677</v>
      </c>
      <c r="Z40" s="335">
        <v>0.02618</v>
      </c>
      <c r="AA40" s="335">
        <v>0.026</v>
      </c>
      <c r="AB40" s="336" t="str">
        <f>IF(Participant!$D$13="-","-",IF(I40&lt;&gt;0,I40*(1+HLOOKUP(Participant!$D$13,CF_Analysis!$U$18:$AA$118,CF_Analysis!T40+1,FALSE))^-T40,IF(ISNUMBER(J40),J40*(1+HLOOKUP(Participant!$D$13,CF_Analysis!$U$18:$AA$118,CF_Analysis!T40+1,FALSE))^-T40,"-")))</f>
        <v>-</v>
      </c>
      <c r="AC40">
        <v>22</v>
      </c>
      <c r="AD40" s="333">
        <v>0.00764</v>
      </c>
      <c r="AE40" s="333">
        <v>8E-05</v>
      </c>
      <c r="AF40" s="333">
        <v>0.00754</v>
      </c>
      <c r="AG40" s="333">
        <v>0.00852</v>
      </c>
      <c r="AH40" s="333">
        <v>0.04215</v>
      </c>
      <c r="AI40" s="333">
        <v>0.02156</v>
      </c>
      <c r="AJ40" s="333">
        <v>0.02138</v>
      </c>
      <c r="AK40" s="336" t="str">
        <f>IF(Participant!$D$13="-","-",IF(Q40&lt;&gt;0,Q40*(1+HLOOKUP(Participant!$D$13,$AD$18:$AJ$118,CF_Analysis!AC40+1,FALSE))^-AC40,IF(ISNUMBER(R40),R40*(1+HLOOKUP(Participant!$D$13,$AD$18:$AJ$118,CF_Analysis!AC40+1,FALSE))^-AC40,"-")))</f>
        <v>-</v>
      </c>
      <c r="AL40" s="71" t="s">
        <v>0</v>
      </c>
      <c r="AM40" s="51"/>
    </row>
    <row r="41" spans="3:39" ht="15" customHeight="1">
      <c r="C41" s="274">
        <v>23</v>
      </c>
      <c r="D41" s="282" t="s">
        <v>9</v>
      </c>
      <c r="E41" s="282" t="s">
        <v>9</v>
      </c>
      <c r="F41" s="279" t="s">
        <v>9</v>
      </c>
      <c r="G41" s="120">
        <f t="shared" si="0"/>
        <v>0</v>
      </c>
      <c r="H41" s="278" t="s">
        <v>9</v>
      </c>
      <c r="I41" s="120">
        <f t="shared" si="1"/>
        <v>0</v>
      </c>
      <c r="J41" s="424" t="s">
        <v>9</v>
      </c>
      <c r="K41" s="182"/>
      <c r="L41" s="282" t="s">
        <v>9</v>
      </c>
      <c r="M41" s="418" t="s">
        <v>9</v>
      </c>
      <c r="N41" s="279" t="s">
        <v>9</v>
      </c>
      <c r="O41" s="120">
        <f t="shared" si="2"/>
        <v>0</v>
      </c>
      <c r="P41" s="278" t="s">
        <v>9</v>
      </c>
      <c r="Q41" s="120">
        <f t="shared" si="3"/>
        <v>0</v>
      </c>
      <c r="R41" s="231" t="s">
        <v>9</v>
      </c>
      <c r="S41" s="71" t="s">
        <v>0</v>
      </c>
      <c r="T41">
        <v>23</v>
      </c>
      <c r="U41" s="333">
        <v>0.01289</v>
      </c>
      <c r="V41" s="333">
        <v>0.00482</v>
      </c>
      <c r="W41" s="333">
        <v>0.01279</v>
      </c>
      <c r="X41" s="334">
        <v>0.01307</v>
      </c>
      <c r="Y41" s="335">
        <v>0.04665</v>
      </c>
      <c r="Z41" s="335">
        <v>0.02667</v>
      </c>
      <c r="AA41" s="335">
        <v>0.02669</v>
      </c>
      <c r="AB41" s="336" t="str">
        <f>IF(Participant!$D$13="-","-",IF(I41&lt;&gt;0,I41*(1+HLOOKUP(Participant!$D$13,CF_Analysis!$U$18:$AA$118,CF_Analysis!T41+1,FALSE))^-T41,IF(ISNUMBER(J41),J41*(1+HLOOKUP(Participant!$D$13,CF_Analysis!$U$18:$AA$118,CF_Analysis!T41+1,FALSE))^-T41,"-")))</f>
        <v>-</v>
      </c>
      <c r="AC41">
        <v>23</v>
      </c>
      <c r="AD41" s="333">
        <v>0.00826</v>
      </c>
      <c r="AE41" s="333">
        <v>0.00019</v>
      </c>
      <c r="AF41" s="333">
        <v>0.00816</v>
      </c>
      <c r="AG41" s="333">
        <v>0.00844</v>
      </c>
      <c r="AH41" s="333">
        <v>0.04202</v>
      </c>
      <c r="AI41" s="333">
        <v>0.02204</v>
      </c>
      <c r="AJ41" s="333">
        <v>0.02206</v>
      </c>
      <c r="AK41" s="336" t="str">
        <f>IF(Participant!$D$13="-","-",IF(Q41&lt;&gt;0,Q41*(1+HLOOKUP(Participant!$D$13,$AD$18:$AJ$118,CF_Analysis!AC41+1,FALSE))^-AC41,IF(ISNUMBER(R41),R41*(1+HLOOKUP(Participant!$D$13,$AD$18:$AJ$118,CF_Analysis!AC41+1,FALSE))^-AC41,"-")))</f>
        <v>-</v>
      </c>
      <c r="AL41" s="71" t="s">
        <v>0</v>
      </c>
      <c r="AM41" s="51"/>
    </row>
    <row r="42" spans="3:39" ht="15" customHeight="1">
      <c r="C42" s="275">
        <v>24</v>
      </c>
      <c r="D42" s="282" t="s">
        <v>9</v>
      </c>
      <c r="E42" s="282" t="s">
        <v>9</v>
      </c>
      <c r="F42" s="279" t="s">
        <v>9</v>
      </c>
      <c r="G42" s="120">
        <f t="shared" si="0"/>
        <v>0</v>
      </c>
      <c r="H42" s="278" t="s">
        <v>9</v>
      </c>
      <c r="I42" s="120">
        <f t="shared" si="1"/>
        <v>0</v>
      </c>
      <c r="J42" s="424" t="s">
        <v>9</v>
      </c>
      <c r="K42" s="182"/>
      <c r="L42" s="282" t="s">
        <v>9</v>
      </c>
      <c r="M42" s="418" t="s">
        <v>9</v>
      </c>
      <c r="N42" s="279" t="s">
        <v>9</v>
      </c>
      <c r="O42" s="120">
        <f t="shared" si="2"/>
        <v>0</v>
      </c>
      <c r="P42" s="278" t="s">
        <v>9</v>
      </c>
      <c r="Q42" s="120">
        <f t="shared" si="3"/>
        <v>0</v>
      </c>
      <c r="R42" s="231" t="s">
        <v>9</v>
      </c>
      <c r="S42" s="71" t="s">
        <v>0</v>
      </c>
      <c r="T42">
        <v>24</v>
      </c>
      <c r="U42" s="333">
        <v>0.01355</v>
      </c>
      <c r="V42" s="333">
        <v>0.005</v>
      </c>
      <c r="W42" s="333">
        <v>0.01346</v>
      </c>
      <c r="X42" s="334">
        <v>0.01298</v>
      </c>
      <c r="Y42" s="335">
        <v>0.04653</v>
      </c>
      <c r="Z42" s="335">
        <v>0.02714</v>
      </c>
      <c r="AA42" s="335">
        <v>0.02732</v>
      </c>
      <c r="AB42" s="336" t="str">
        <f>IF(Participant!$D$13="-","-",IF(I42&lt;&gt;0,I42*(1+HLOOKUP(Participant!$D$13,CF_Analysis!$U$18:$AA$118,CF_Analysis!T42+1,FALSE))^-T42,IF(ISNUMBER(J42),J42*(1+HLOOKUP(Participant!$D$13,CF_Analysis!$U$18:$AA$118,CF_Analysis!T42+1,FALSE))^-T42,"-")))</f>
        <v>-</v>
      </c>
      <c r="AC42">
        <v>24</v>
      </c>
      <c r="AD42" s="333">
        <v>0.00891</v>
      </c>
      <c r="AE42" s="333">
        <v>0.00036</v>
      </c>
      <c r="AF42" s="333">
        <v>0.00882</v>
      </c>
      <c r="AG42" s="333">
        <v>0.00834</v>
      </c>
      <c r="AH42" s="333">
        <v>0.04189</v>
      </c>
      <c r="AI42" s="333">
        <v>0.0225</v>
      </c>
      <c r="AJ42" s="333">
        <v>0.02268</v>
      </c>
      <c r="AK42" s="336" t="str">
        <f>IF(Participant!$D$13="-","-",IF(Q42&lt;&gt;0,Q42*(1+HLOOKUP(Participant!$D$13,$AD$18:$AJ$118,CF_Analysis!AC42+1,FALSE))^-AC42,IF(ISNUMBER(R42),R42*(1+HLOOKUP(Participant!$D$13,$AD$18:$AJ$118,CF_Analysis!AC42+1,FALSE))^-AC42,"-")))</f>
        <v>-</v>
      </c>
      <c r="AL42" s="71" t="s">
        <v>0</v>
      </c>
      <c r="AM42" s="51"/>
    </row>
    <row r="43" spans="3:39" ht="15" customHeight="1">
      <c r="C43" s="274">
        <v>25</v>
      </c>
      <c r="D43" s="282" t="s">
        <v>9</v>
      </c>
      <c r="E43" s="282" t="s">
        <v>9</v>
      </c>
      <c r="F43" s="279" t="s">
        <v>9</v>
      </c>
      <c r="G43" s="120">
        <f t="shared" si="0"/>
        <v>0</v>
      </c>
      <c r="H43" s="278" t="s">
        <v>9</v>
      </c>
      <c r="I43" s="120">
        <f t="shared" si="1"/>
        <v>0</v>
      </c>
      <c r="J43" s="424" t="s">
        <v>9</v>
      </c>
      <c r="K43" s="182"/>
      <c r="L43" s="282" t="s">
        <v>9</v>
      </c>
      <c r="M43" s="418" t="s">
        <v>9</v>
      </c>
      <c r="N43" s="279" t="s">
        <v>9</v>
      </c>
      <c r="O43" s="120">
        <f t="shared" si="2"/>
        <v>0</v>
      </c>
      <c r="P43" s="278" t="s">
        <v>9</v>
      </c>
      <c r="Q43" s="120">
        <f t="shared" si="3"/>
        <v>0</v>
      </c>
      <c r="R43" s="231" t="s">
        <v>9</v>
      </c>
      <c r="S43" s="71" t="s">
        <v>0</v>
      </c>
      <c r="T43">
        <v>25</v>
      </c>
      <c r="U43" s="333">
        <v>0.01423</v>
      </c>
      <c r="V43" s="333">
        <v>0.00525</v>
      </c>
      <c r="W43" s="333">
        <v>0.01414</v>
      </c>
      <c r="X43" s="334">
        <v>0.0129</v>
      </c>
      <c r="Y43" s="335">
        <v>0.04642</v>
      </c>
      <c r="Z43" s="335">
        <v>0.02758</v>
      </c>
      <c r="AA43" s="335">
        <v>0.0279</v>
      </c>
      <c r="AB43" s="336" t="str">
        <f>IF(Participant!$D$13="-","-",IF(I43&lt;&gt;0,I43*(1+HLOOKUP(Participant!$D$13,CF_Analysis!$U$18:$AA$118,CF_Analysis!T43+1,FALSE))^-T43,IF(ISNUMBER(J43),J43*(1+HLOOKUP(Participant!$D$13,CF_Analysis!$U$18:$AA$118,CF_Analysis!T43+1,FALSE))^-T43,"-")))</f>
        <v>-</v>
      </c>
      <c r="AC43">
        <v>25</v>
      </c>
      <c r="AD43" s="333">
        <v>0.00958</v>
      </c>
      <c r="AE43" s="333">
        <v>0.0006</v>
      </c>
      <c r="AF43" s="333">
        <v>0.00949</v>
      </c>
      <c r="AG43" s="333">
        <v>0.00825</v>
      </c>
      <c r="AH43" s="333">
        <v>0.04177</v>
      </c>
      <c r="AI43" s="333">
        <v>0.02293</v>
      </c>
      <c r="AJ43" s="333">
        <v>0.02325</v>
      </c>
      <c r="AK43" s="336" t="str">
        <f>IF(Participant!$D$13="-","-",IF(Q43&lt;&gt;0,Q43*(1+HLOOKUP(Participant!$D$13,$AD$18:$AJ$118,CF_Analysis!AC43+1,FALSE))^-AC43,IF(ISNUMBER(R43),R43*(1+HLOOKUP(Participant!$D$13,$AD$18:$AJ$118,CF_Analysis!AC43+1,FALSE))^-AC43,"-")))</f>
        <v>-</v>
      </c>
      <c r="AL43" s="71" t="s">
        <v>0</v>
      </c>
      <c r="AM43" s="51"/>
    </row>
    <row r="44" spans="3:39" ht="15" customHeight="1">
      <c r="C44" s="275">
        <v>26</v>
      </c>
      <c r="D44" s="282" t="s">
        <v>9</v>
      </c>
      <c r="E44" s="282" t="s">
        <v>9</v>
      </c>
      <c r="F44" s="279" t="s">
        <v>9</v>
      </c>
      <c r="G44" s="120">
        <f t="shared" si="0"/>
        <v>0</v>
      </c>
      <c r="H44" s="278" t="s">
        <v>9</v>
      </c>
      <c r="I44" s="120">
        <f t="shared" si="1"/>
        <v>0</v>
      </c>
      <c r="J44" s="424" t="s">
        <v>9</v>
      </c>
      <c r="K44" s="182"/>
      <c r="L44" s="282" t="s">
        <v>9</v>
      </c>
      <c r="M44" s="418" t="s">
        <v>9</v>
      </c>
      <c r="N44" s="279" t="s">
        <v>9</v>
      </c>
      <c r="O44" s="120">
        <f t="shared" si="2"/>
        <v>0</v>
      </c>
      <c r="P44" s="278" t="s">
        <v>9</v>
      </c>
      <c r="Q44" s="120">
        <f t="shared" si="3"/>
        <v>0</v>
      </c>
      <c r="R44" s="231" t="s">
        <v>9</v>
      </c>
      <c r="S44" s="71" t="s">
        <v>0</v>
      </c>
      <c r="T44">
        <v>26</v>
      </c>
      <c r="U44" s="333">
        <v>0.01492</v>
      </c>
      <c r="V44" s="333">
        <v>0.00559</v>
      </c>
      <c r="W44" s="333">
        <v>0.01482</v>
      </c>
      <c r="X44" s="334">
        <v>0.01283</v>
      </c>
      <c r="Y44" s="335">
        <v>0.04631</v>
      </c>
      <c r="Z44" s="335">
        <v>0.02801</v>
      </c>
      <c r="AA44" s="335">
        <v>0.02844</v>
      </c>
      <c r="AB44" s="336" t="str">
        <f>IF(Participant!$D$13="-","-",IF(I44&lt;&gt;0,I44*(1+HLOOKUP(Participant!$D$13,CF_Analysis!$U$18:$AA$118,CF_Analysis!T44+1,FALSE))^-T44,IF(ISNUMBER(J44),J44*(1+HLOOKUP(Participant!$D$13,CF_Analysis!$U$18:$AA$118,CF_Analysis!T44+1,FALSE))^-T44,"-")))</f>
        <v>-</v>
      </c>
      <c r="AC44">
        <v>26</v>
      </c>
      <c r="AD44" s="333">
        <v>0.01026</v>
      </c>
      <c r="AE44" s="333">
        <v>0.00093</v>
      </c>
      <c r="AF44" s="333">
        <v>0.01016</v>
      </c>
      <c r="AG44" s="333">
        <v>0.00817</v>
      </c>
      <c r="AH44" s="333">
        <v>0.04165</v>
      </c>
      <c r="AI44" s="333">
        <v>0.02335</v>
      </c>
      <c r="AJ44" s="333">
        <v>0.02378</v>
      </c>
      <c r="AK44" s="336" t="str">
        <f>IF(Participant!$D$13="-","-",IF(Q44&lt;&gt;0,Q44*(1+HLOOKUP(Participant!$D$13,$AD$18:$AJ$118,CF_Analysis!AC44+1,FALSE))^-AC44,IF(ISNUMBER(R44),R44*(1+HLOOKUP(Participant!$D$13,$AD$18:$AJ$118,CF_Analysis!AC44+1,FALSE))^-AC44,"-")))</f>
        <v>-</v>
      </c>
      <c r="AL44" s="71" t="s">
        <v>0</v>
      </c>
      <c r="AM44" s="51"/>
    </row>
    <row r="45" spans="3:39" ht="15" customHeight="1">
      <c r="C45" s="274">
        <v>27</v>
      </c>
      <c r="D45" s="282" t="s">
        <v>9</v>
      </c>
      <c r="E45" s="282" t="s">
        <v>9</v>
      </c>
      <c r="F45" s="279" t="s">
        <v>9</v>
      </c>
      <c r="G45" s="120">
        <f t="shared" si="0"/>
        <v>0</v>
      </c>
      <c r="H45" s="278" t="s">
        <v>9</v>
      </c>
      <c r="I45" s="120">
        <f t="shared" si="1"/>
        <v>0</v>
      </c>
      <c r="J45" s="424" t="s">
        <v>9</v>
      </c>
      <c r="K45" s="182"/>
      <c r="L45" s="282" t="s">
        <v>9</v>
      </c>
      <c r="M45" s="418" t="s">
        <v>9</v>
      </c>
      <c r="N45" s="279" t="s">
        <v>9</v>
      </c>
      <c r="O45" s="120">
        <f t="shared" si="2"/>
        <v>0</v>
      </c>
      <c r="P45" s="278" t="s">
        <v>9</v>
      </c>
      <c r="Q45" s="120">
        <f t="shared" si="3"/>
        <v>0</v>
      </c>
      <c r="R45" s="231" t="s">
        <v>9</v>
      </c>
      <c r="S45" s="71" t="s">
        <v>0</v>
      </c>
      <c r="T45">
        <v>27</v>
      </c>
      <c r="U45" s="333">
        <v>0.01559</v>
      </c>
      <c r="V45" s="333">
        <v>0.00598</v>
      </c>
      <c r="W45" s="333">
        <v>0.0155</v>
      </c>
      <c r="X45" s="334">
        <v>0.01277</v>
      </c>
      <c r="Y45" s="335">
        <v>0.0462</v>
      </c>
      <c r="Z45" s="335">
        <v>0.02841</v>
      </c>
      <c r="AA45" s="335">
        <v>0.02894</v>
      </c>
      <c r="AB45" s="336" t="str">
        <f>IF(Participant!$D$13="-","-",IF(I45&lt;&gt;0,I45*(1+HLOOKUP(Participant!$D$13,CF_Analysis!$U$18:$AA$118,CF_Analysis!T45+1,FALSE))^-T45,IF(ISNUMBER(J45),J45*(1+HLOOKUP(Participant!$D$13,CF_Analysis!$U$18:$AA$118,CF_Analysis!T45+1,FALSE))^-T45,"-")))</f>
        <v>-</v>
      </c>
      <c r="AC45">
        <v>27</v>
      </c>
      <c r="AD45" s="333">
        <v>0.01092</v>
      </c>
      <c r="AE45" s="333">
        <v>0.00131</v>
      </c>
      <c r="AF45" s="333">
        <v>0.01083</v>
      </c>
      <c r="AG45" s="333">
        <v>0.0081</v>
      </c>
      <c r="AH45" s="333">
        <v>0.04153</v>
      </c>
      <c r="AI45" s="333">
        <v>0.02374</v>
      </c>
      <c r="AJ45" s="333">
        <v>0.02427</v>
      </c>
      <c r="AK45" s="336" t="str">
        <f>IF(Participant!$D$13="-","-",IF(Q45&lt;&gt;0,Q45*(1+HLOOKUP(Participant!$D$13,$AD$18:$AJ$118,CF_Analysis!AC45+1,FALSE))^-AC45,IF(ISNUMBER(R45),R45*(1+HLOOKUP(Participant!$D$13,$AD$18:$AJ$118,CF_Analysis!AC45+1,FALSE))^-AC45,"-")))</f>
        <v>-</v>
      </c>
      <c r="AL45" s="71" t="s">
        <v>0</v>
      </c>
      <c r="AM45" s="51"/>
    </row>
    <row r="46" spans="3:39" ht="15" customHeight="1">
      <c r="C46" s="275">
        <v>28</v>
      </c>
      <c r="D46" s="282" t="s">
        <v>9</v>
      </c>
      <c r="E46" s="282" t="s">
        <v>9</v>
      </c>
      <c r="F46" s="279" t="s">
        <v>9</v>
      </c>
      <c r="G46" s="120">
        <f t="shared" si="0"/>
        <v>0</v>
      </c>
      <c r="H46" s="278" t="s">
        <v>9</v>
      </c>
      <c r="I46" s="120">
        <f t="shared" si="1"/>
        <v>0</v>
      </c>
      <c r="J46" s="424" t="s">
        <v>9</v>
      </c>
      <c r="K46" s="182"/>
      <c r="L46" s="282" t="s">
        <v>9</v>
      </c>
      <c r="M46" s="418" t="s">
        <v>9</v>
      </c>
      <c r="N46" s="279" t="s">
        <v>9</v>
      </c>
      <c r="O46" s="120">
        <f t="shared" si="2"/>
        <v>0</v>
      </c>
      <c r="P46" s="278" t="s">
        <v>9</v>
      </c>
      <c r="Q46" s="120">
        <f t="shared" si="3"/>
        <v>0</v>
      </c>
      <c r="R46" s="231" t="s">
        <v>9</v>
      </c>
      <c r="S46" s="71" t="s">
        <v>0</v>
      </c>
      <c r="T46">
        <v>28</v>
      </c>
      <c r="U46" s="333">
        <v>0.01626</v>
      </c>
      <c r="V46" s="333">
        <v>0.00643</v>
      </c>
      <c r="W46" s="333">
        <v>0.01618</v>
      </c>
      <c r="X46" s="334">
        <v>0.01272</v>
      </c>
      <c r="Y46" s="335">
        <v>0.0461</v>
      </c>
      <c r="Z46" s="335">
        <v>0.0288</v>
      </c>
      <c r="AA46" s="335">
        <v>0.0294</v>
      </c>
      <c r="AB46" s="336" t="str">
        <f>IF(Participant!$D$13="-","-",IF(I46&lt;&gt;0,I46*(1+HLOOKUP(Participant!$D$13,CF_Analysis!$U$18:$AA$118,CF_Analysis!T46+1,FALSE))^-T46,IF(ISNUMBER(J46),J46*(1+HLOOKUP(Participant!$D$13,CF_Analysis!$U$18:$AA$118,CF_Analysis!T46+1,FALSE))^-T46,"-")))</f>
        <v>-</v>
      </c>
      <c r="AC46">
        <v>28</v>
      </c>
      <c r="AD46" s="333">
        <v>0.01158</v>
      </c>
      <c r="AE46" s="333">
        <v>0.00175</v>
      </c>
      <c r="AF46" s="333">
        <v>0.0115</v>
      </c>
      <c r="AG46" s="333">
        <v>0.00804</v>
      </c>
      <c r="AH46" s="333">
        <v>0.04142</v>
      </c>
      <c r="AI46" s="333">
        <v>0.02412</v>
      </c>
      <c r="AJ46" s="333">
        <v>0.02472</v>
      </c>
      <c r="AK46" s="336" t="str">
        <f>IF(Participant!$D$13="-","-",IF(Q46&lt;&gt;0,Q46*(1+HLOOKUP(Participant!$D$13,$AD$18:$AJ$118,CF_Analysis!AC46+1,FALSE))^-AC46,IF(ISNUMBER(R46),R46*(1+HLOOKUP(Participant!$D$13,$AD$18:$AJ$118,CF_Analysis!AC46+1,FALSE))^-AC46,"-")))</f>
        <v>-</v>
      </c>
      <c r="AL46" s="71" t="s">
        <v>0</v>
      </c>
      <c r="AM46" s="51"/>
    </row>
    <row r="47" spans="3:39" ht="15" customHeight="1">
      <c r="C47" s="274">
        <v>29</v>
      </c>
      <c r="D47" s="282" t="s">
        <v>9</v>
      </c>
      <c r="E47" s="282" t="s">
        <v>9</v>
      </c>
      <c r="F47" s="279" t="s">
        <v>9</v>
      </c>
      <c r="G47" s="120">
        <f t="shared" si="0"/>
        <v>0</v>
      </c>
      <c r="H47" s="278" t="s">
        <v>9</v>
      </c>
      <c r="I47" s="120">
        <f t="shared" si="1"/>
        <v>0</v>
      </c>
      <c r="J47" s="424" t="s">
        <v>9</v>
      </c>
      <c r="K47" s="182"/>
      <c r="L47" s="282" t="s">
        <v>9</v>
      </c>
      <c r="M47" s="418" t="s">
        <v>9</v>
      </c>
      <c r="N47" s="279" t="s">
        <v>9</v>
      </c>
      <c r="O47" s="120">
        <f t="shared" si="2"/>
        <v>0</v>
      </c>
      <c r="P47" s="278" t="s">
        <v>9</v>
      </c>
      <c r="Q47" s="120">
        <f t="shared" si="3"/>
        <v>0</v>
      </c>
      <c r="R47" s="231" t="s">
        <v>9</v>
      </c>
      <c r="S47" s="71" t="s">
        <v>0</v>
      </c>
      <c r="T47">
        <v>29</v>
      </c>
      <c r="U47" s="333">
        <v>0.01692</v>
      </c>
      <c r="V47" s="333">
        <v>0.0069</v>
      </c>
      <c r="W47" s="333">
        <v>0.01683</v>
      </c>
      <c r="X47" s="334">
        <v>0.01267</v>
      </c>
      <c r="Y47" s="335">
        <v>0.046</v>
      </c>
      <c r="Z47" s="335">
        <v>0.02917</v>
      </c>
      <c r="AA47" s="335">
        <v>0.02983</v>
      </c>
      <c r="AB47" s="336" t="str">
        <f>IF(Participant!$D$13="-","-",IF(I47&lt;&gt;0,I47*(1+HLOOKUP(Participant!$D$13,CF_Analysis!$U$18:$AA$118,CF_Analysis!T47+1,FALSE))^-T47,IF(ISNUMBER(J47),J47*(1+HLOOKUP(Participant!$D$13,CF_Analysis!$U$18:$AA$118,CF_Analysis!T47+1,FALSE))^-T47,"-")))</f>
        <v>-</v>
      </c>
      <c r="AC47">
        <v>29</v>
      </c>
      <c r="AD47" s="333">
        <v>0.01223</v>
      </c>
      <c r="AE47" s="333">
        <v>0.00221</v>
      </c>
      <c r="AF47" s="333">
        <v>0.01214</v>
      </c>
      <c r="AG47" s="333">
        <v>0.00798</v>
      </c>
      <c r="AH47" s="333">
        <v>0.04131</v>
      </c>
      <c r="AI47" s="333">
        <v>0.02448</v>
      </c>
      <c r="AJ47" s="333">
        <v>0.02514</v>
      </c>
      <c r="AK47" s="336" t="str">
        <f>IF(Participant!$D$13="-","-",IF(Q47&lt;&gt;0,Q47*(1+HLOOKUP(Participant!$D$13,$AD$18:$AJ$118,CF_Analysis!AC47+1,FALSE))^-AC47,IF(ISNUMBER(R47),R47*(1+HLOOKUP(Participant!$D$13,$AD$18:$AJ$118,CF_Analysis!AC47+1,FALSE))^-AC47,"-")))</f>
        <v>-</v>
      </c>
      <c r="AL47" s="71" t="s">
        <v>0</v>
      </c>
      <c r="AM47" s="51"/>
    </row>
    <row r="48" spans="3:39" ht="15" customHeight="1">
      <c r="C48" s="275">
        <v>30</v>
      </c>
      <c r="D48" s="282" t="s">
        <v>9</v>
      </c>
      <c r="E48" s="282" t="s">
        <v>9</v>
      </c>
      <c r="F48" s="279" t="s">
        <v>9</v>
      </c>
      <c r="G48" s="120">
        <f t="shared" si="0"/>
        <v>0</v>
      </c>
      <c r="H48" s="278" t="s">
        <v>9</v>
      </c>
      <c r="I48" s="120">
        <f t="shared" si="1"/>
        <v>0</v>
      </c>
      <c r="J48" s="424" t="s">
        <v>9</v>
      </c>
      <c r="K48" s="182"/>
      <c r="L48" s="282" t="s">
        <v>9</v>
      </c>
      <c r="M48" s="418" t="s">
        <v>9</v>
      </c>
      <c r="N48" s="279" t="s">
        <v>9</v>
      </c>
      <c r="O48" s="120">
        <f t="shared" si="2"/>
        <v>0</v>
      </c>
      <c r="P48" s="278" t="s">
        <v>9</v>
      </c>
      <c r="Q48" s="120">
        <f t="shared" si="3"/>
        <v>0</v>
      </c>
      <c r="R48" s="231" t="s">
        <v>9</v>
      </c>
      <c r="S48" s="71" t="s">
        <v>0</v>
      </c>
      <c r="T48">
        <v>30</v>
      </c>
      <c r="U48" s="333">
        <v>0.01756</v>
      </c>
      <c r="V48" s="333">
        <v>0.00739</v>
      </c>
      <c r="W48" s="333">
        <v>0.01748</v>
      </c>
      <c r="X48" s="334">
        <v>0.01264</v>
      </c>
      <c r="Y48" s="335">
        <v>0.04591</v>
      </c>
      <c r="Z48" s="335">
        <v>0.02952</v>
      </c>
      <c r="AA48" s="335">
        <v>0.03024</v>
      </c>
      <c r="AB48" s="336" t="str">
        <f>IF(Participant!$D$13="-","-",IF(I48&lt;&gt;0,I48*(1+HLOOKUP(Participant!$D$13,CF_Analysis!$U$18:$AA$118,CF_Analysis!T48+1,FALSE))^-T48,IF(ISNUMBER(J48),J48*(1+HLOOKUP(Participant!$D$13,CF_Analysis!$U$18:$AA$118,CF_Analysis!T48+1,FALSE))^-T48,"-")))</f>
        <v>-</v>
      </c>
      <c r="AC48">
        <v>30</v>
      </c>
      <c r="AD48" s="333">
        <v>0.01286</v>
      </c>
      <c r="AE48" s="333">
        <v>0.00269</v>
      </c>
      <c r="AF48" s="333">
        <v>0.01278</v>
      </c>
      <c r="AG48" s="333">
        <v>0.00794</v>
      </c>
      <c r="AH48" s="333">
        <v>0.04121</v>
      </c>
      <c r="AI48" s="333">
        <v>0.02482</v>
      </c>
      <c r="AJ48" s="333">
        <v>0.02554</v>
      </c>
      <c r="AK48" s="336" t="str">
        <f>IF(Participant!$D$13="-","-",IF(Q48&lt;&gt;0,Q48*(1+HLOOKUP(Participant!$D$13,$AD$18:$AJ$118,CF_Analysis!AC48+1,FALSE))^-AC48,IF(ISNUMBER(R48),R48*(1+HLOOKUP(Participant!$D$13,$AD$18:$AJ$118,CF_Analysis!AC48+1,FALSE))^-AC48,"-")))</f>
        <v>-</v>
      </c>
      <c r="AL48" s="71" t="s">
        <v>0</v>
      </c>
      <c r="AM48" s="51"/>
    </row>
    <row r="49" spans="3:39" ht="15" customHeight="1">
      <c r="C49" s="274">
        <v>31</v>
      </c>
      <c r="D49" s="282" t="s">
        <v>9</v>
      </c>
      <c r="E49" s="282" t="s">
        <v>9</v>
      </c>
      <c r="F49" s="279" t="s">
        <v>9</v>
      </c>
      <c r="G49" s="120">
        <f t="shared" si="0"/>
        <v>0</v>
      </c>
      <c r="H49" s="278" t="s">
        <v>9</v>
      </c>
      <c r="I49" s="120">
        <f t="shared" si="1"/>
        <v>0</v>
      </c>
      <c r="J49" s="424" t="s">
        <v>9</v>
      </c>
      <c r="K49" s="182"/>
      <c r="L49" s="282" t="s">
        <v>9</v>
      </c>
      <c r="M49" s="418" t="s">
        <v>9</v>
      </c>
      <c r="N49" s="279" t="s">
        <v>9</v>
      </c>
      <c r="O49" s="120">
        <f t="shared" si="2"/>
        <v>0</v>
      </c>
      <c r="P49" s="278" t="s">
        <v>9</v>
      </c>
      <c r="Q49" s="120">
        <f t="shared" si="3"/>
        <v>0</v>
      </c>
      <c r="R49" s="231" t="s">
        <v>9</v>
      </c>
      <c r="S49" s="71" t="s">
        <v>0</v>
      </c>
      <c r="T49">
        <v>31</v>
      </c>
      <c r="U49" s="333">
        <v>0.01818</v>
      </c>
      <c r="V49" s="333">
        <v>0.00789</v>
      </c>
      <c r="W49" s="333">
        <v>0.0181</v>
      </c>
      <c r="X49" s="334">
        <v>0.0126</v>
      </c>
      <c r="Y49" s="335">
        <v>0.04581</v>
      </c>
      <c r="Z49" s="335">
        <v>0.02986</v>
      </c>
      <c r="AA49" s="335">
        <v>0.03061</v>
      </c>
      <c r="AB49" s="336" t="str">
        <f>IF(Participant!$D$13="-","-",IF(I49&lt;&gt;0,I49*(1+HLOOKUP(Participant!$D$13,CF_Analysis!$U$18:$AA$118,CF_Analysis!T49+1,FALSE))^-T49,IF(ISNUMBER(J49),J49*(1+HLOOKUP(Participant!$D$13,CF_Analysis!$U$18:$AA$118,CF_Analysis!T49+1,FALSE))^-T49,"-")))</f>
        <v>-</v>
      </c>
      <c r="AC49">
        <v>31</v>
      </c>
      <c r="AD49" s="333">
        <v>0.01348</v>
      </c>
      <c r="AE49" s="333">
        <v>0.00319</v>
      </c>
      <c r="AF49" s="333">
        <v>0.0134</v>
      </c>
      <c r="AG49" s="333">
        <v>0.0079</v>
      </c>
      <c r="AH49" s="333">
        <v>0.04111</v>
      </c>
      <c r="AI49" s="333">
        <v>0.02516</v>
      </c>
      <c r="AJ49" s="333">
        <v>0.02591</v>
      </c>
      <c r="AK49" s="336" t="str">
        <f>IF(Participant!$D$13="-","-",IF(Q49&lt;&gt;0,Q49*(1+HLOOKUP(Participant!$D$13,$AD$18:$AJ$118,CF_Analysis!AC49+1,FALSE))^-AC49,IF(ISNUMBER(R49),R49*(1+HLOOKUP(Participant!$D$13,$AD$18:$AJ$118,CF_Analysis!AC49+1,FALSE))^-AC49,"-")))</f>
        <v>-</v>
      </c>
      <c r="AL49" s="71" t="s">
        <v>0</v>
      </c>
      <c r="AM49" s="51"/>
    </row>
    <row r="50" spans="3:39" ht="15" customHeight="1">
      <c r="C50" s="275">
        <v>32</v>
      </c>
      <c r="D50" s="282" t="s">
        <v>9</v>
      </c>
      <c r="E50" s="282" t="s">
        <v>9</v>
      </c>
      <c r="F50" s="279" t="s">
        <v>9</v>
      </c>
      <c r="G50" s="120">
        <f t="shared" si="0"/>
        <v>0</v>
      </c>
      <c r="H50" s="278" t="s">
        <v>9</v>
      </c>
      <c r="I50" s="120">
        <f t="shared" si="1"/>
        <v>0</v>
      </c>
      <c r="J50" s="424" t="s">
        <v>9</v>
      </c>
      <c r="K50" s="182"/>
      <c r="L50" s="282" t="s">
        <v>9</v>
      </c>
      <c r="M50" s="418" t="s">
        <v>9</v>
      </c>
      <c r="N50" s="279" t="s">
        <v>9</v>
      </c>
      <c r="O50" s="120">
        <f t="shared" si="2"/>
        <v>0</v>
      </c>
      <c r="P50" s="278" t="s">
        <v>9</v>
      </c>
      <c r="Q50" s="120">
        <f t="shared" si="3"/>
        <v>0</v>
      </c>
      <c r="R50" s="231" t="s">
        <v>9</v>
      </c>
      <c r="S50" s="71" t="s">
        <v>0</v>
      </c>
      <c r="T50">
        <v>32</v>
      </c>
      <c r="U50" s="333">
        <v>0.01878</v>
      </c>
      <c r="V50" s="333">
        <v>0.0084</v>
      </c>
      <c r="W50" s="333">
        <v>0.01871</v>
      </c>
      <c r="X50" s="334">
        <v>0.01255</v>
      </c>
      <c r="Y50" s="335">
        <v>0.04573</v>
      </c>
      <c r="Z50" s="335">
        <v>0.03018</v>
      </c>
      <c r="AA50" s="335">
        <v>0.03097</v>
      </c>
      <c r="AB50" s="336" t="str">
        <f>IF(Participant!$D$13="-","-",IF(I50&lt;&gt;0,I50*(1+HLOOKUP(Participant!$D$13,CF_Analysis!$U$18:$AA$118,CF_Analysis!T50+1,FALSE))^-T50,IF(ISNUMBER(J50),J50*(1+HLOOKUP(Participant!$D$13,CF_Analysis!$U$18:$AA$118,CF_Analysis!T50+1,FALSE))^-T50,"-")))</f>
        <v>-</v>
      </c>
      <c r="AC50">
        <v>32</v>
      </c>
      <c r="AD50" s="333">
        <v>0.01408</v>
      </c>
      <c r="AE50" s="333">
        <v>0.0037</v>
      </c>
      <c r="AF50" s="333">
        <v>0.01401</v>
      </c>
      <c r="AG50" s="333">
        <v>0.00785</v>
      </c>
      <c r="AH50" s="333">
        <v>0.04103</v>
      </c>
      <c r="AI50" s="333">
        <v>0.02548</v>
      </c>
      <c r="AJ50" s="333">
        <v>0.02627</v>
      </c>
      <c r="AK50" s="336" t="str">
        <f>IF(Participant!$D$13="-","-",IF(Q50&lt;&gt;0,Q50*(1+HLOOKUP(Participant!$D$13,$AD$18:$AJ$118,CF_Analysis!AC50+1,FALSE))^-AC50,IF(ISNUMBER(R50),R50*(1+HLOOKUP(Participant!$D$13,$AD$18:$AJ$118,CF_Analysis!AC50+1,FALSE))^-AC50,"-")))</f>
        <v>-</v>
      </c>
      <c r="AL50" s="71" t="s">
        <v>0</v>
      </c>
      <c r="AM50" s="51"/>
    </row>
    <row r="51" spans="3:39" ht="15" customHeight="1">
      <c r="C51" s="274">
        <v>33</v>
      </c>
      <c r="D51" s="282" t="s">
        <v>9</v>
      </c>
      <c r="E51" s="282" t="s">
        <v>9</v>
      </c>
      <c r="F51" s="279" t="s">
        <v>9</v>
      </c>
      <c r="G51" s="120">
        <f t="shared" si="0"/>
        <v>0</v>
      </c>
      <c r="H51" s="278" t="s">
        <v>9</v>
      </c>
      <c r="I51" s="120">
        <f t="shared" si="1"/>
        <v>0</v>
      </c>
      <c r="J51" s="424" t="s">
        <v>9</v>
      </c>
      <c r="K51" s="182"/>
      <c r="L51" s="282" t="s">
        <v>9</v>
      </c>
      <c r="M51" s="418" t="s">
        <v>9</v>
      </c>
      <c r="N51" s="279" t="s">
        <v>9</v>
      </c>
      <c r="O51" s="120">
        <f t="shared" si="2"/>
        <v>0</v>
      </c>
      <c r="P51" s="278" t="s">
        <v>9</v>
      </c>
      <c r="Q51" s="120">
        <f t="shared" si="3"/>
        <v>0</v>
      </c>
      <c r="R51" s="231" t="s">
        <v>9</v>
      </c>
      <c r="S51" s="71" t="s">
        <v>0</v>
      </c>
      <c r="T51">
        <v>33</v>
      </c>
      <c r="U51" s="333">
        <v>0.01937</v>
      </c>
      <c r="V51" s="333">
        <v>0.0089</v>
      </c>
      <c r="W51" s="333">
        <v>0.01929</v>
      </c>
      <c r="X51" s="334">
        <v>0.01248</v>
      </c>
      <c r="Y51" s="335">
        <v>0.04564</v>
      </c>
      <c r="Z51" s="335">
        <v>0.03049</v>
      </c>
      <c r="AA51" s="335">
        <v>0.0313</v>
      </c>
      <c r="AB51" s="336" t="str">
        <f>IF(Participant!$D$13="-","-",IF(I51&lt;&gt;0,I51*(1+HLOOKUP(Participant!$D$13,CF_Analysis!$U$18:$AA$118,CF_Analysis!T51+1,FALSE))^-T51,IF(ISNUMBER(J51),J51*(1+HLOOKUP(Participant!$D$13,CF_Analysis!$U$18:$AA$118,CF_Analysis!T51+1,FALSE))^-T51,"-")))</f>
        <v>-</v>
      </c>
      <c r="AC51">
        <v>33</v>
      </c>
      <c r="AD51" s="333">
        <v>0.01467</v>
      </c>
      <c r="AE51" s="333">
        <v>0.0042</v>
      </c>
      <c r="AF51" s="333">
        <v>0.01459</v>
      </c>
      <c r="AG51" s="333">
        <v>0.00778</v>
      </c>
      <c r="AH51" s="333">
        <v>0.04094</v>
      </c>
      <c r="AI51" s="333">
        <v>0.02579</v>
      </c>
      <c r="AJ51" s="333">
        <v>0.0266</v>
      </c>
      <c r="AK51" s="336" t="str">
        <f>IF(Participant!$D$13="-","-",IF(Q51&lt;&gt;0,Q51*(1+HLOOKUP(Participant!$D$13,$AD$18:$AJ$118,CF_Analysis!AC51+1,FALSE))^-AC51,IF(ISNUMBER(R51),R51*(1+HLOOKUP(Participant!$D$13,$AD$18:$AJ$118,CF_Analysis!AC51+1,FALSE))^-AC51,"-")))</f>
        <v>-</v>
      </c>
      <c r="AL51" s="71" t="s">
        <v>0</v>
      </c>
      <c r="AM51" s="51"/>
    </row>
    <row r="52" spans="3:39" ht="15" customHeight="1">
      <c r="C52" s="275">
        <v>34</v>
      </c>
      <c r="D52" s="282" t="s">
        <v>9</v>
      </c>
      <c r="E52" s="282" t="s">
        <v>9</v>
      </c>
      <c r="F52" s="279" t="s">
        <v>9</v>
      </c>
      <c r="G52" s="120">
        <f t="shared" si="0"/>
        <v>0</v>
      </c>
      <c r="H52" s="278" t="s">
        <v>9</v>
      </c>
      <c r="I52" s="120">
        <f t="shared" si="1"/>
        <v>0</v>
      </c>
      <c r="J52" s="424" t="s">
        <v>9</v>
      </c>
      <c r="K52" s="182"/>
      <c r="L52" s="282" t="s">
        <v>9</v>
      </c>
      <c r="M52" s="418" t="s">
        <v>9</v>
      </c>
      <c r="N52" s="279" t="s">
        <v>9</v>
      </c>
      <c r="O52" s="120">
        <f t="shared" si="2"/>
        <v>0</v>
      </c>
      <c r="P52" s="278" t="s">
        <v>9</v>
      </c>
      <c r="Q52" s="120">
        <f t="shared" si="3"/>
        <v>0</v>
      </c>
      <c r="R52" s="231" t="s">
        <v>9</v>
      </c>
      <c r="S52" s="71" t="s">
        <v>0</v>
      </c>
      <c r="T52">
        <v>34</v>
      </c>
      <c r="U52" s="333">
        <v>0.01993</v>
      </c>
      <c r="V52" s="333">
        <v>0.0094</v>
      </c>
      <c r="W52" s="333">
        <v>0.01985</v>
      </c>
      <c r="X52" s="334">
        <v>0.01239</v>
      </c>
      <c r="Y52" s="335">
        <v>0.04556</v>
      </c>
      <c r="Z52" s="335">
        <v>0.03078</v>
      </c>
      <c r="AA52" s="335">
        <v>0.03161</v>
      </c>
      <c r="AB52" s="336" t="str">
        <f>IF(Participant!$D$13="-","-",IF(I52&lt;&gt;0,I52*(1+HLOOKUP(Participant!$D$13,CF_Analysis!$U$18:$AA$118,CF_Analysis!T52+1,FALSE))^-T52,IF(ISNUMBER(J52),J52*(1+HLOOKUP(Participant!$D$13,CF_Analysis!$U$18:$AA$118,CF_Analysis!T52+1,FALSE))^-T52,"-")))</f>
        <v>-</v>
      </c>
      <c r="AC52">
        <v>34</v>
      </c>
      <c r="AD52" s="333">
        <v>0.01523</v>
      </c>
      <c r="AE52" s="333">
        <v>0.0047</v>
      </c>
      <c r="AF52" s="333">
        <v>0.01515</v>
      </c>
      <c r="AG52" s="333">
        <v>0.00769</v>
      </c>
      <c r="AH52" s="333">
        <v>0.04086</v>
      </c>
      <c r="AI52" s="333">
        <v>0.02608</v>
      </c>
      <c r="AJ52" s="333">
        <v>0.02691</v>
      </c>
      <c r="AK52" s="336" t="str">
        <f>IF(Participant!$D$13="-","-",IF(Q52&lt;&gt;0,Q52*(1+HLOOKUP(Participant!$D$13,$AD$18:$AJ$118,CF_Analysis!AC52+1,FALSE))^-AC52,IF(ISNUMBER(R52),R52*(1+HLOOKUP(Participant!$D$13,$AD$18:$AJ$118,CF_Analysis!AC52+1,FALSE))^-AC52,"-")))</f>
        <v>-</v>
      </c>
      <c r="AL52" s="71" t="s">
        <v>0</v>
      </c>
      <c r="AM52" s="51"/>
    </row>
    <row r="53" spans="3:39" ht="15" customHeight="1">
      <c r="C53" s="274">
        <v>35</v>
      </c>
      <c r="D53" s="282" t="s">
        <v>9</v>
      </c>
      <c r="E53" s="282" t="s">
        <v>9</v>
      </c>
      <c r="F53" s="279" t="s">
        <v>9</v>
      </c>
      <c r="G53" s="120">
        <f t="shared" si="0"/>
        <v>0</v>
      </c>
      <c r="H53" s="278" t="s">
        <v>9</v>
      </c>
      <c r="I53" s="120">
        <f t="shared" si="1"/>
        <v>0</v>
      </c>
      <c r="J53" s="424" t="s">
        <v>9</v>
      </c>
      <c r="K53" s="182"/>
      <c r="L53" s="282" t="s">
        <v>9</v>
      </c>
      <c r="M53" s="418" t="s">
        <v>9</v>
      </c>
      <c r="N53" s="279" t="s">
        <v>9</v>
      </c>
      <c r="O53" s="120">
        <f t="shared" si="2"/>
        <v>0</v>
      </c>
      <c r="P53" s="278" t="s">
        <v>9</v>
      </c>
      <c r="Q53" s="120">
        <f t="shared" si="3"/>
        <v>0</v>
      </c>
      <c r="R53" s="231" t="s">
        <v>9</v>
      </c>
      <c r="S53" s="71" t="s">
        <v>0</v>
      </c>
      <c r="T53">
        <v>35</v>
      </c>
      <c r="U53" s="333">
        <v>0.02047</v>
      </c>
      <c r="V53" s="333">
        <v>0.00989</v>
      </c>
      <c r="W53" s="333">
        <v>0.0204</v>
      </c>
      <c r="X53" s="334">
        <v>0.01227</v>
      </c>
      <c r="Y53" s="335">
        <v>0.04548</v>
      </c>
      <c r="Z53" s="335">
        <v>0.03106</v>
      </c>
      <c r="AA53" s="335">
        <v>0.03191</v>
      </c>
      <c r="AB53" s="336" t="str">
        <f>IF(Participant!$D$13="-","-",IF(I53&lt;&gt;0,I53*(1+HLOOKUP(Participant!$D$13,CF_Analysis!$U$18:$AA$118,CF_Analysis!T53+1,FALSE))^-T53,IF(ISNUMBER(J53),J53*(1+HLOOKUP(Participant!$D$13,CF_Analysis!$U$18:$AA$118,CF_Analysis!T53+1,FALSE))^-T53,"-")))</f>
        <v>-</v>
      </c>
      <c r="AC53">
        <v>35</v>
      </c>
      <c r="AD53" s="333">
        <v>0.01577</v>
      </c>
      <c r="AE53" s="333">
        <v>0.00519</v>
      </c>
      <c r="AF53" s="333">
        <v>0.0157</v>
      </c>
      <c r="AG53" s="333">
        <v>0.00757</v>
      </c>
      <c r="AH53" s="333">
        <v>0.04078</v>
      </c>
      <c r="AI53" s="333">
        <v>0.02636</v>
      </c>
      <c r="AJ53" s="333">
        <v>0.02721</v>
      </c>
      <c r="AK53" s="336" t="str">
        <f>IF(Participant!$D$13="-","-",IF(Q53&lt;&gt;0,Q53*(1+HLOOKUP(Participant!$D$13,$AD$18:$AJ$118,CF_Analysis!AC53+1,FALSE))^-AC53,IF(ISNUMBER(R53),R53*(1+HLOOKUP(Participant!$D$13,$AD$18:$AJ$118,CF_Analysis!AC53+1,FALSE))^-AC53,"-")))</f>
        <v>-</v>
      </c>
      <c r="AL53" s="71" t="s">
        <v>0</v>
      </c>
      <c r="AM53" s="51"/>
    </row>
    <row r="54" spans="3:39" ht="15" customHeight="1">
      <c r="C54" s="275">
        <v>36</v>
      </c>
      <c r="D54" s="282" t="s">
        <v>9</v>
      </c>
      <c r="E54" s="282" t="s">
        <v>9</v>
      </c>
      <c r="F54" s="279" t="s">
        <v>9</v>
      </c>
      <c r="G54" s="120">
        <f t="shared" si="0"/>
        <v>0</v>
      </c>
      <c r="H54" s="278" t="s">
        <v>9</v>
      </c>
      <c r="I54" s="120">
        <f t="shared" si="1"/>
        <v>0</v>
      </c>
      <c r="J54" s="424" t="s">
        <v>9</v>
      </c>
      <c r="K54" s="182"/>
      <c r="L54" s="282" t="s">
        <v>9</v>
      </c>
      <c r="M54" s="418" t="s">
        <v>9</v>
      </c>
      <c r="N54" s="279" t="s">
        <v>9</v>
      </c>
      <c r="O54" s="120">
        <f t="shared" si="2"/>
        <v>0</v>
      </c>
      <c r="P54" s="278" t="s">
        <v>9</v>
      </c>
      <c r="Q54" s="120">
        <f t="shared" si="3"/>
        <v>0</v>
      </c>
      <c r="R54" s="231" t="s">
        <v>9</v>
      </c>
      <c r="S54" s="71" t="s">
        <v>0</v>
      </c>
      <c r="T54">
        <v>36</v>
      </c>
      <c r="U54" s="333">
        <v>0.02099</v>
      </c>
      <c r="V54" s="333">
        <v>0.01037</v>
      </c>
      <c r="W54" s="333">
        <v>0.02092</v>
      </c>
      <c r="X54" s="334">
        <v>0.01211</v>
      </c>
      <c r="Y54" s="335">
        <v>0.0454</v>
      </c>
      <c r="Z54" s="335">
        <v>0.03133</v>
      </c>
      <c r="AA54" s="335">
        <v>0.03219</v>
      </c>
      <c r="AB54" s="336" t="str">
        <f>IF(Participant!$D$13="-","-",IF(I54&lt;&gt;0,I54*(1+HLOOKUP(Participant!$D$13,CF_Analysis!$U$18:$AA$118,CF_Analysis!T54+1,FALSE))^-T54,IF(ISNUMBER(J54),J54*(1+HLOOKUP(Participant!$D$13,CF_Analysis!$U$18:$AA$118,CF_Analysis!T54+1,FALSE))^-T54,"-")))</f>
        <v>-</v>
      </c>
      <c r="AC54">
        <v>36</v>
      </c>
      <c r="AD54" s="333">
        <v>0.01629</v>
      </c>
      <c r="AE54" s="333">
        <v>0.00567</v>
      </c>
      <c r="AF54" s="333">
        <v>0.01622</v>
      </c>
      <c r="AG54" s="333">
        <v>0.00741</v>
      </c>
      <c r="AH54" s="333">
        <v>0.0407</v>
      </c>
      <c r="AI54" s="333">
        <v>0.02663</v>
      </c>
      <c r="AJ54" s="333">
        <v>0.02749</v>
      </c>
      <c r="AK54" s="336" t="str">
        <f>IF(Participant!$D$13="-","-",IF(Q54&lt;&gt;0,Q54*(1+HLOOKUP(Participant!$D$13,$AD$18:$AJ$118,CF_Analysis!AC54+1,FALSE))^-AC54,IF(ISNUMBER(R54),R54*(1+HLOOKUP(Participant!$D$13,$AD$18:$AJ$118,CF_Analysis!AC54+1,FALSE))^-AC54,"-")))</f>
        <v>-</v>
      </c>
      <c r="AL54" s="71" t="s">
        <v>0</v>
      </c>
      <c r="AM54" s="51"/>
    </row>
    <row r="55" spans="3:39" ht="15" customHeight="1">
      <c r="C55" s="274">
        <v>37</v>
      </c>
      <c r="D55" s="282" t="s">
        <v>9</v>
      </c>
      <c r="E55" s="282" t="s">
        <v>9</v>
      </c>
      <c r="F55" s="279" t="s">
        <v>9</v>
      </c>
      <c r="G55" s="120">
        <f t="shared" si="0"/>
        <v>0</v>
      </c>
      <c r="H55" s="278" t="s">
        <v>9</v>
      </c>
      <c r="I55" s="120">
        <f t="shared" si="1"/>
        <v>0</v>
      </c>
      <c r="J55" s="424" t="s">
        <v>9</v>
      </c>
      <c r="K55" s="182"/>
      <c r="L55" s="282" t="s">
        <v>9</v>
      </c>
      <c r="M55" s="418" t="s">
        <v>9</v>
      </c>
      <c r="N55" s="279" t="s">
        <v>9</v>
      </c>
      <c r="O55" s="120">
        <f t="shared" si="2"/>
        <v>0</v>
      </c>
      <c r="P55" s="278" t="s">
        <v>9</v>
      </c>
      <c r="Q55" s="120">
        <f t="shared" si="3"/>
        <v>0</v>
      </c>
      <c r="R55" s="231" t="s">
        <v>9</v>
      </c>
      <c r="S55" s="71" t="s">
        <v>0</v>
      </c>
      <c r="T55">
        <v>37</v>
      </c>
      <c r="U55" s="333">
        <v>0.02149</v>
      </c>
      <c r="V55" s="333">
        <v>0.01084</v>
      </c>
      <c r="W55" s="333">
        <v>0.02143</v>
      </c>
      <c r="X55" s="334">
        <v>0.01194</v>
      </c>
      <c r="Y55" s="335">
        <v>0.04533</v>
      </c>
      <c r="Z55" s="335">
        <v>0.03159</v>
      </c>
      <c r="AA55" s="335">
        <v>0.03245</v>
      </c>
      <c r="AB55" s="336" t="str">
        <f>IF(Participant!$D$13="-","-",IF(I55&lt;&gt;0,I55*(1+HLOOKUP(Participant!$D$13,CF_Analysis!$U$18:$AA$118,CF_Analysis!T55+1,FALSE))^-T55,IF(ISNUMBER(J55),J55*(1+HLOOKUP(Participant!$D$13,CF_Analysis!$U$18:$AA$118,CF_Analysis!T55+1,FALSE))^-T55,"-")))</f>
        <v>-</v>
      </c>
      <c r="AC55">
        <v>37</v>
      </c>
      <c r="AD55" s="333">
        <v>0.01679</v>
      </c>
      <c r="AE55" s="333">
        <v>0.00614</v>
      </c>
      <c r="AF55" s="333">
        <v>0.01673</v>
      </c>
      <c r="AG55" s="333">
        <v>0.00724</v>
      </c>
      <c r="AH55" s="333">
        <v>0.04063</v>
      </c>
      <c r="AI55" s="333">
        <v>0.02689</v>
      </c>
      <c r="AJ55" s="333">
        <v>0.02775</v>
      </c>
      <c r="AK55" s="336" t="str">
        <f>IF(Participant!$D$13="-","-",IF(Q55&lt;&gt;0,Q55*(1+HLOOKUP(Participant!$D$13,$AD$18:$AJ$118,CF_Analysis!AC55+1,FALSE))^-AC55,IF(ISNUMBER(R55),R55*(1+HLOOKUP(Participant!$D$13,$AD$18:$AJ$118,CF_Analysis!AC55+1,FALSE))^-AC55,"-")))</f>
        <v>-</v>
      </c>
      <c r="AL55" s="71" t="s">
        <v>0</v>
      </c>
      <c r="AM55" s="51"/>
    </row>
    <row r="56" spans="3:39" ht="15" customHeight="1">
      <c r="C56" s="275">
        <v>38</v>
      </c>
      <c r="D56" s="282" t="s">
        <v>9</v>
      </c>
      <c r="E56" s="282" t="s">
        <v>9</v>
      </c>
      <c r="F56" s="279" t="s">
        <v>9</v>
      </c>
      <c r="G56" s="120">
        <f t="shared" si="0"/>
        <v>0</v>
      </c>
      <c r="H56" s="278" t="s">
        <v>9</v>
      </c>
      <c r="I56" s="120">
        <f t="shared" si="1"/>
        <v>0</v>
      </c>
      <c r="J56" s="424" t="s">
        <v>9</v>
      </c>
      <c r="K56" s="182"/>
      <c r="L56" s="282" t="s">
        <v>9</v>
      </c>
      <c r="M56" s="418" t="s">
        <v>9</v>
      </c>
      <c r="N56" s="279" t="s">
        <v>9</v>
      </c>
      <c r="O56" s="120">
        <f t="shared" si="2"/>
        <v>0</v>
      </c>
      <c r="P56" s="278" t="s">
        <v>9</v>
      </c>
      <c r="Q56" s="120">
        <f t="shared" si="3"/>
        <v>0</v>
      </c>
      <c r="R56" s="231" t="s">
        <v>9</v>
      </c>
      <c r="S56" s="71" t="s">
        <v>0</v>
      </c>
      <c r="T56">
        <v>38</v>
      </c>
      <c r="U56" s="333">
        <v>0.02198</v>
      </c>
      <c r="V56" s="333">
        <v>0.0113</v>
      </c>
      <c r="W56" s="333">
        <v>0.02191</v>
      </c>
      <c r="X56" s="334">
        <v>0.01179</v>
      </c>
      <c r="Y56" s="335">
        <v>0.04526</v>
      </c>
      <c r="Z56" s="335">
        <v>0.03184</v>
      </c>
      <c r="AA56" s="335">
        <v>0.0327</v>
      </c>
      <c r="AB56" s="336" t="str">
        <f>IF(Participant!$D$13="-","-",IF(I56&lt;&gt;0,I56*(1+HLOOKUP(Participant!$D$13,CF_Analysis!$U$18:$AA$118,CF_Analysis!T56+1,FALSE))^-T56,IF(ISNUMBER(J56),J56*(1+HLOOKUP(Participant!$D$13,CF_Analysis!$U$18:$AA$118,CF_Analysis!T56+1,FALSE))^-T56,"-")))</f>
        <v>-</v>
      </c>
      <c r="AC56">
        <v>38</v>
      </c>
      <c r="AD56" s="333">
        <v>0.01728</v>
      </c>
      <c r="AE56" s="333">
        <v>0.0066</v>
      </c>
      <c r="AF56" s="333">
        <v>0.01721</v>
      </c>
      <c r="AG56" s="333">
        <v>0.00709</v>
      </c>
      <c r="AH56" s="333">
        <v>0.04056</v>
      </c>
      <c r="AI56" s="333">
        <v>0.02714</v>
      </c>
      <c r="AJ56" s="333">
        <v>0.028</v>
      </c>
      <c r="AK56" s="336" t="str">
        <f>IF(Participant!$D$13="-","-",IF(Q56&lt;&gt;0,Q56*(1+HLOOKUP(Participant!$D$13,$AD$18:$AJ$118,CF_Analysis!AC56+1,FALSE))^-AC56,IF(ISNUMBER(R56),R56*(1+HLOOKUP(Participant!$D$13,$AD$18:$AJ$118,CF_Analysis!AC56+1,FALSE))^-AC56,"-")))</f>
        <v>-</v>
      </c>
      <c r="AL56" s="71" t="s">
        <v>0</v>
      </c>
      <c r="AM56" s="51"/>
    </row>
    <row r="57" spans="3:39" ht="15" customHeight="1">
      <c r="C57" s="274">
        <v>39</v>
      </c>
      <c r="D57" s="282" t="s">
        <v>9</v>
      </c>
      <c r="E57" s="282" t="s">
        <v>9</v>
      </c>
      <c r="F57" s="279" t="s">
        <v>9</v>
      </c>
      <c r="G57" s="120">
        <f t="shared" si="0"/>
        <v>0</v>
      </c>
      <c r="H57" s="278" t="s">
        <v>9</v>
      </c>
      <c r="I57" s="120">
        <f t="shared" si="1"/>
        <v>0</v>
      </c>
      <c r="J57" s="424" t="s">
        <v>9</v>
      </c>
      <c r="K57" s="182"/>
      <c r="L57" s="282" t="s">
        <v>9</v>
      </c>
      <c r="M57" s="418" t="s">
        <v>9</v>
      </c>
      <c r="N57" s="279" t="s">
        <v>9</v>
      </c>
      <c r="O57" s="120">
        <f t="shared" si="2"/>
        <v>0</v>
      </c>
      <c r="P57" s="278" t="s">
        <v>9</v>
      </c>
      <c r="Q57" s="120">
        <f t="shared" si="3"/>
        <v>0</v>
      </c>
      <c r="R57" s="231" t="s">
        <v>9</v>
      </c>
      <c r="S57" s="71" t="s">
        <v>0</v>
      </c>
      <c r="T57">
        <v>39</v>
      </c>
      <c r="U57" s="333">
        <v>0.02244</v>
      </c>
      <c r="V57" s="333">
        <v>0.01175</v>
      </c>
      <c r="W57" s="333">
        <v>0.02238</v>
      </c>
      <c r="X57" s="334">
        <v>0.01166</v>
      </c>
      <c r="Y57" s="335">
        <v>0.04519</v>
      </c>
      <c r="Z57" s="335">
        <v>0.03208</v>
      </c>
      <c r="AA57" s="335">
        <v>0.03294</v>
      </c>
      <c r="AB57" s="336" t="str">
        <f>IF(Participant!$D$13="-","-",IF(I57&lt;&gt;0,I57*(1+HLOOKUP(Participant!$D$13,CF_Analysis!$U$18:$AA$118,CF_Analysis!T57+1,FALSE))^-T57,IF(ISNUMBER(J57),J57*(1+HLOOKUP(Participant!$D$13,CF_Analysis!$U$18:$AA$118,CF_Analysis!T57+1,FALSE))^-T57,"-")))</f>
        <v>-</v>
      </c>
      <c r="AC57">
        <v>39</v>
      </c>
      <c r="AD57" s="333">
        <v>0.01774</v>
      </c>
      <c r="AE57" s="333">
        <v>0.00705</v>
      </c>
      <c r="AF57" s="333">
        <v>0.01768</v>
      </c>
      <c r="AG57" s="333">
        <v>0.00696</v>
      </c>
      <c r="AH57" s="333">
        <v>0.04049</v>
      </c>
      <c r="AI57" s="333">
        <v>0.02738</v>
      </c>
      <c r="AJ57" s="333">
        <v>0.02824</v>
      </c>
      <c r="AK57" s="336" t="str">
        <f>IF(Participant!$D$13="-","-",IF(Q57&lt;&gt;0,Q57*(1+HLOOKUP(Participant!$D$13,$AD$18:$AJ$118,CF_Analysis!AC57+1,FALSE))^-AC57,IF(ISNUMBER(R57),R57*(1+HLOOKUP(Participant!$D$13,$AD$18:$AJ$118,CF_Analysis!AC57+1,FALSE))^-AC57,"-")))</f>
        <v>-</v>
      </c>
      <c r="AL57" s="71" t="s">
        <v>0</v>
      </c>
      <c r="AM57" s="51"/>
    </row>
    <row r="58" spans="3:39" ht="15" customHeight="1">
      <c r="C58" s="275">
        <v>40</v>
      </c>
      <c r="D58" s="282" t="s">
        <v>9</v>
      </c>
      <c r="E58" s="282" t="s">
        <v>9</v>
      </c>
      <c r="F58" s="279" t="s">
        <v>9</v>
      </c>
      <c r="G58" s="120">
        <f t="shared" si="0"/>
        <v>0</v>
      </c>
      <c r="H58" s="278" t="s">
        <v>9</v>
      </c>
      <c r="I58" s="120">
        <f t="shared" si="1"/>
        <v>0</v>
      </c>
      <c r="J58" s="424" t="s">
        <v>9</v>
      </c>
      <c r="K58" s="182"/>
      <c r="L58" s="282" t="s">
        <v>9</v>
      </c>
      <c r="M58" s="418" t="s">
        <v>9</v>
      </c>
      <c r="N58" s="279" t="s">
        <v>9</v>
      </c>
      <c r="O58" s="120">
        <f t="shared" si="2"/>
        <v>0</v>
      </c>
      <c r="P58" s="278" t="s">
        <v>9</v>
      </c>
      <c r="Q58" s="120">
        <f t="shared" si="3"/>
        <v>0</v>
      </c>
      <c r="R58" s="231" t="s">
        <v>9</v>
      </c>
      <c r="S58" s="71" t="s">
        <v>0</v>
      </c>
      <c r="T58">
        <v>40</v>
      </c>
      <c r="U58" s="333">
        <v>0.02289</v>
      </c>
      <c r="V58" s="333">
        <v>0.01219</v>
      </c>
      <c r="W58" s="333">
        <v>0.02283</v>
      </c>
      <c r="X58" s="334">
        <v>0.01157</v>
      </c>
      <c r="Y58" s="335">
        <v>0.04512</v>
      </c>
      <c r="Z58" s="335">
        <v>0.0323</v>
      </c>
      <c r="AA58" s="335">
        <v>0.03317</v>
      </c>
      <c r="AB58" s="336" t="str">
        <f>IF(Participant!$D$13="-","-",IF(I58&lt;&gt;0,I58*(1+HLOOKUP(Participant!$D$13,CF_Analysis!$U$18:$AA$118,CF_Analysis!T58+1,FALSE))^-T58,IF(ISNUMBER(J58),J58*(1+HLOOKUP(Participant!$D$13,CF_Analysis!$U$18:$AA$118,CF_Analysis!T58+1,FALSE))^-T58,"-")))</f>
        <v>-</v>
      </c>
      <c r="AC58">
        <v>40</v>
      </c>
      <c r="AD58" s="333">
        <v>0.01819</v>
      </c>
      <c r="AE58" s="333">
        <v>0.00749</v>
      </c>
      <c r="AF58" s="333">
        <v>0.01813</v>
      </c>
      <c r="AG58" s="333">
        <v>0.00687</v>
      </c>
      <c r="AH58" s="333">
        <v>0.04042</v>
      </c>
      <c r="AI58" s="333">
        <v>0.0276</v>
      </c>
      <c r="AJ58" s="333">
        <v>0.02847</v>
      </c>
      <c r="AK58" s="336" t="str">
        <f>IF(Participant!$D$13="-","-",IF(Q58&lt;&gt;0,Q58*(1+HLOOKUP(Participant!$D$13,$AD$18:$AJ$118,CF_Analysis!AC58+1,FALSE))^-AC58,IF(ISNUMBER(R58),R58*(1+HLOOKUP(Participant!$D$13,$AD$18:$AJ$118,CF_Analysis!AC58+1,FALSE))^-AC58,"-")))</f>
        <v>-</v>
      </c>
      <c r="AL58" s="71" t="s">
        <v>0</v>
      </c>
      <c r="AM58" s="51"/>
    </row>
    <row r="59" spans="3:39" ht="15" customHeight="1">
      <c r="C59" s="274">
        <v>41</v>
      </c>
      <c r="D59" s="282" t="s">
        <v>9</v>
      </c>
      <c r="E59" s="282" t="s">
        <v>9</v>
      </c>
      <c r="F59" s="279" t="s">
        <v>9</v>
      </c>
      <c r="G59" s="120">
        <f t="shared" si="0"/>
        <v>0</v>
      </c>
      <c r="H59" s="278" t="s">
        <v>9</v>
      </c>
      <c r="I59" s="120">
        <f t="shared" si="1"/>
        <v>0</v>
      </c>
      <c r="J59" s="424" t="s">
        <v>9</v>
      </c>
      <c r="K59" s="182"/>
      <c r="L59" s="282" t="s">
        <v>9</v>
      </c>
      <c r="M59" s="418" t="s">
        <v>9</v>
      </c>
      <c r="N59" s="279" t="s">
        <v>9</v>
      </c>
      <c r="O59" s="120">
        <f t="shared" si="2"/>
        <v>0</v>
      </c>
      <c r="P59" s="278" t="s">
        <v>9</v>
      </c>
      <c r="Q59" s="120">
        <f t="shared" si="3"/>
        <v>0</v>
      </c>
      <c r="R59" s="231" t="s">
        <v>9</v>
      </c>
      <c r="S59" s="71" t="s">
        <v>0</v>
      </c>
      <c r="T59">
        <v>41</v>
      </c>
      <c r="U59" s="333">
        <v>0.02332</v>
      </c>
      <c r="V59" s="333">
        <v>0.01261</v>
      </c>
      <c r="W59" s="333">
        <v>0.02326</v>
      </c>
      <c r="X59" s="334">
        <v>0.01152</v>
      </c>
      <c r="Y59" s="335">
        <v>0.04506</v>
      </c>
      <c r="Z59" s="335">
        <v>0.03252</v>
      </c>
      <c r="AA59" s="335">
        <v>0.03338</v>
      </c>
      <c r="AB59" s="336" t="str">
        <f>IF(Participant!$D$13="-","-",IF(I59&lt;&gt;0,I59*(1+HLOOKUP(Participant!$D$13,CF_Analysis!$U$18:$AA$118,CF_Analysis!T59+1,FALSE))^-T59,IF(ISNUMBER(J59),J59*(1+HLOOKUP(Participant!$D$13,CF_Analysis!$U$18:$AA$118,CF_Analysis!T59+1,FALSE))^-T59,"-")))</f>
        <v>-</v>
      </c>
      <c r="AC59">
        <v>41</v>
      </c>
      <c r="AD59" s="333">
        <v>0.01862</v>
      </c>
      <c r="AE59" s="333">
        <v>0.00791</v>
      </c>
      <c r="AF59" s="333">
        <v>0.01856</v>
      </c>
      <c r="AG59" s="333">
        <v>0.00682</v>
      </c>
      <c r="AH59" s="333">
        <v>0.04036</v>
      </c>
      <c r="AI59" s="333">
        <v>0.02782</v>
      </c>
      <c r="AJ59" s="333">
        <v>0.02868</v>
      </c>
      <c r="AK59" s="336" t="str">
        <f>IF(Participant!$D$13="-","-",IF(Q59&lt;&gt;0,Q59*(1+HLOOKUP(Participant!$D$13,$AD$18:$AJ$118,CF_Analysis!AC59+1,FALSE))^-AC59,IF(ISNUMBER(R59),R59*(1+HLOOKUP(Participant!$D$13,$AD$18:$AJ$118,CF_Analysis!AC59+1,FALSE))^-AC59,"-")))</f>
        <v>-</v>
      </c>
      <c r="AL59" s="71" t="s">
        <v>0</v>
      </c>
      <c r="AM59" s="51"/>
    </row>
    <row r="60" spans="3:39" ht="15" customHeight="1">
      <c r="C60" s="275">
        <v>42</v>
      </c>
      <c r="D60" s="282" t="s">
        <v>9</v>
      </c>
      <c r="E60" s="282" t="s">
        <v>9</v>
      </c>
      <c r="F60" s="279" t="s">
        <v>9</v>
      </c>
      <c r="G60" s="120">
        <f t="shared" si="0"/>
        <v>0</v>
      </c>
      <c r="H60" s="278" t="s">
        <v>9</v>
      </c>
      <c r="I60" s="120">
        <f t="shared" si="1"/>
        <v>0</v>
      </c>
      <c r="J60" s="424" t="s">
        <v>9</v>
      </c>
      <c r="K60" s="182"/>
      <c r="L60" s="282" t="s">
        <v>9</v>
      </c>
      <c r="M60" s="418" t="s">
        <v>9</v>
      </c>
      <c r="N60" s="279" t="s">
        <v>9</v>
      </c>
      <c r="O60" s="120">
        <f t="shared" si="2"/>
        <v>0</v>
      </c>
      <c r="P60" s="278" t="s">
        <v>9</v>
      </c>
      <c r="Q60" s="120">
        <f t="shared" si="3"/>
        <v>0</v>
      </c>
      <c r="R60" s="231" t="s">
        <v>9</v>
      </c>
      <c r="S60" s="71" t="s">
        <v>0</v>
      </c>
      <c r="T60">
        <v>42</v>
      </c>
      <c r="U60" s="333">
        <v>0.02373</v>
      </c>
      <c r="V60" s="333">
        <v>0.01302</v>
      </c>
      <c r="W60" s="333">
        <v>0.02367</v>
      </c>
      <c r="X60" s="334">
        <v>0.01148</v>
      </c>
      <c r="Y60" s="335">
        <v>0.04499</v>
      </c>
      <c r="Z60" s="335">
        <v>0.03273</v>
      </c>
      <c r="AA60" s="335">
        <v>0.03358</v>
      </c>
      <c r="AB60" s="336" t="str">
        <f>IF(Participant!$D$13="-","-",IF(I60&lt;&gt;0,I60*(1+HLOOKUP(Participant!$D$13,CF_Analysis!$U$18:$AA$118,CF_Analysis!T60+1,FALSE))^-T60,IF(ISNUMBER(J60),J60*(1+HLOOKUP(Participant!$D$13,CF_Analysis!$U$18:$AA$118,CF_Analysis!T60+1,FALSE))^-T60,"-")))</f>
        <v>-</v>
      </c>
      <c r="AC60">
        <v>42</v>
      </c>
      <c r="AD60" s="333">
        <v>0.01903</v>
      </c>
      <c r="AE60" s="333">
        <v>0.00832</v>
      </c>
      <c r="AF60" s="333">
        <v>0.01897</v>
      </c>
      <c r="AG60" s="333">
        <v>0.00678</v>
      </c>
      <c r="AH60" s="333">
        <v>0.04029</v>
      </c>
      <c r="AI60" s="333">
        <v>0.02803</v>
      </c>
      <c r="AJ60" s="333">
        <v>0.02888</v>
      </c>
      <c r="AK60" s="336" t="str">
        <f>IF(Participant!$D$13="-","-",IF(Q60&lt;&gt;0,Q60*(1+HLOOKUP(Participant!$D$13,$AD$18:$AJ$118,CF_Analysis!AC60+1,FALSE))^-AC60,IF(ISNUMBER(R60),R60*(1+HLOOKUP(Participant!$D$13,$AD$18:$AJ$118,CF_Analysis!AC60+1,FALSE))^-AC60,"-")))</f>
        <v>-</v>
      </c>
      <c r="AL60" s="71" t="s">
        <v>0</v>
      </c>
      <c r="AM60" s="51"/>
    </row>
    <row r="61" spans="3:39" ht="15" customHeight="1">
      <c r="C61" s="274">
        <v>43</v>
      </c>
      <c r="D61" s="282" t="s">
        <v>9</v>
      </c>
      <c r="E61" s="282" t="s">
        <v>9</v>
      </c>
      <c r="F61" s="279" t="s">
        <v>9</v>
      </c>
      <c r="G61" s="120">
        <f t="shared" si="0"/>
        <v>0</v>
      </c>
      <c r="H61" s="278" t="s">
        <v>9</v>
      </c>
      <c r="I61" s="120">
        <f t="shared" si="1"/>
        <v>0</v>
      </c>
      <c r="J61" s="424" t="s">
        <v>9</v>
      </c>
      <c r="K61" s="182"/>
      <c r="L61" s="282" t="s">
        <v>9</v>
      </c>
      <c r="M61" s="418" t="s">
        <v>9</v>
      </c>
      <c r="N61" s="279" t="s">
        <v>9</v>
      </c>
      <c r="O61" s="120">
        <f t="shared" si="2"/>
        <v>0</v>
      </c>
      <c r="P61" s="278" t="s">
        <v>9</v>
      </c>
      <c r="Q61" s="120">
        <f t="shared" si="3"/>
        <v>0</v>
      </c>
      <c r="R61" s="231" t="s">
        <v>9</v>
      </c>
      <c r="S61" s="71" t="s">
        <v>0</v>
      </c>
      <c r="T61">
        <v>43</v>
      </c>
      <c r="U61" s="333">
        <v>0.02413</v>
      </c>
      <c r="V61" s="333">
        <v>0.01341</v>
      </c>
      <c r="W61" s="333">
        <v>0.02407</v>
      </c>
      <c r="X61" s="334">
        <v>0.01144</v>
      </c>
      <c r="Y61" s="335">
        <v>0.04493</v>
      </c>
      <c r="Z61" s="335">
        <v>0.03293</v>
      </c>
      <c r="AA61" s="335">
        <v>0.03378</v>
      </c>
      <c r="AB61" s="336" t="str">
        <f>IF(Participant!$D$13="-","-",IF(I61&lt;&gt;0,I61*(1+HLOOKUP(Participant!$D$13,CF_Analysis!$U$18:$AA$118,CF_Analysis!T61+1,FALSE))^-T61,IF(ISNUMBER(J61),J61*(1+HLOOKUP(Participant!$D$13,CF_Analysis!$U$18:$AA$118,CF_Analysis!T61+1,FALSE))^-T61,"-")))</f>
        <v>-</v>
      </c>
      <c r="AC61">
        <v>43</v>
      </c>
      <c r="AD61" s="333">
        <v>0.01943</v>
      </c>
      <c r="AE61" s="333">
        <v>0.00871</v>
      </c>
      <c r="AF61" s="333">
        <v>0.01937</v>
      </c>
      <c r="AG61" s="333">
        <v>0.00674</v>
      </c>
      <c r="AH61" s="333">
        <v>0.04023</v>
      </c>
      <c r="AI61" s="333">
        <v>0.02823</v>
      </c>
      <c r="AJ61" s="333">
        <v>0.02908</v>
      </c>
      <c r="AK61" s="336" t="str">
        <f>IF(Participant!$D$13="-","-",IF(Q61&lt;&gt;0,Q61*(1+HLOOKUP(Participant!$D$13,$AD$18:$AJ$118,CF_Analysis!AC61+1,FALSE))^-AC61,IF(ISNUMBER(R61),R61*(1+HLOOKUP(Participant!$D$13,$AD$18:$AJ$118,CF_Analysis!AC61+1,FALSE))^-AC61,"-")))</f>
        <v>-</v>
      </c>
      <c r="AL61" s="71" t="s">
        <v>0</v>
      </c>
      <c r="AM61" s="51"/>
    </row>
    <row r="62" spans="3:39" ht="15" customHeight="1">
      <c r="C62" s="275">
        <v>44</v>
      </c>
      <c r="D62" s="282" t="s">
        <v>9</v>
      </c>
      <c r="E62" s="282" t="s">
        <v>9</v>
      </c>
      <c r="F62" s="279" t="s">
        <v>9</v>
      </c>
      <c r="G62" s="120">
        <f t="shared" si="0"/>
        <v>0</v>
      </c>
      <c r="H62" s="278" t="s">
        <v>9</v>
      </c>
      <c r="I62" s="120">
        <f t="shared" si="1"/>
        <v>0</v>
      </c>
      <c r="J62" s="424" t="s">
        <v>9</v>
      </c>
      <c r="K62" s="182"/>
      <c r="L62" s="282" t="s">
        <v>9</v>
      </c>
      <c r="M62" s="418" t="s">
        <v>9</v>
      </c>
      <c r="N62" s="279" t="s">
        <v>9</v>
      </c>
      <c r="O62" s="120">
        <f t="shared" si="2"/>
        <v>0</v>
      </c>
      <c r="P62" s="278" t="s">
        <v>9</v>
      </c>
      <c r="Q62" s="120">
        <f t="shared" si="3"/>
        <v>0</v>
      </c>
      <c r="R62" s="231" t="s">
        <v>9</v>
      </c>
      <c r="S62" s="71" t="s">
        <v>0</v>
      </c>
      <c r="T62">
        <v>44</v>
      </c>
      <c r="U62" s="333">
        <v>0.02451</v>
      </c>
      <c r="V62" s="333">
        <v>0.01379</v>
      </c>
      <c r="W62" s="333">
        <v>0.02446</v>
      </c>
      <c r="X62" s="334">
        <v>0.01138</v>
      </c>
      <c r="Y62" s="335">
        <v>0.04488</v>
      </c>
      <c r="Z62" s="335">
        <v>0.03312</v>
      </c>
      <c r="AA62" s="335">
        <v>0.03397</v>
      </c>
      <c r="AB62" s="336" t="str">
        <f>IF(Participant!$D$13="-","-",IF(I62&lt;&gt;0,I62*(1+HLOOKUP(Participant!$D$13,CF_Analysis!$U$18:$AA$118,CF_Analysis!T62+1,FALSE))^-T62,IF(ISNUMBER(J62),J62*(1+HLOOKUP(Participant!$D$13,CF_Analysis!$U$18:$AA$118,CF_Analysis!T62+1,FALSE))^-T62,"-")))</f>
        <v>-</v>
      </c>
      <c r="AC62">
        <v>44</v>
      </c>
      <c r="AD62" s="333">
        <v>0.01981</v>
      </c>
      <c r="AE62" s="333">
        <v>0.00909</v>
      </c>
      <c r="AF62" s="333">
        <v>0.01976</v>
      </c>
      <c r="AG62" s="333">
        <v>0.00668</v>
      </c>
      <c r="AH62" s="333">
        <v>0.04018</v>
      </c>
      <c r="AI62" s="333">
        <v>0.02842</v>
      </c>
      <c r="AJ62" s="333">
        <v>0.02927</v>
      </c>
      <c r="AK62" s="336" t="str">
        <f>IF(Participant!$D$13="-","-",IF(Q62&lt;&gt;0,Q62*(1+HLOOKUP(Participant!$D$13,$AD$18:$AJ$118,CF_Analysis!AC62+1,FALSE))^-AC62,IF(ISNUMBER(R62),R62*(1+HLOOKUP(Participant!$D$13,$AD$18:$AJ$118,CF_Analysis!AC62+1,FALSE))^-AC62,"-")))</f>
        <v>-</v>
      </c>
      <c r="AL62" s="71" t="s">
        <v>0</v>
      </c>
      <c r="AM62" s="51"/>
    </row>
    <row r="63" spans="3:39" ht="15" customHeight="1">
      <c r="C63" s="274">
        <v>45</v>
      </c>
      <c r="D63" s="282" t="s">
        <v>9</v>
      </c>
      <c r="E63" s="282" t="s">
        <v>9</v>
      </c>
      <c r="F63" s="279" t="s">
        <v>9</v>
      </c>
      <c r="G63" s="120">
        <f t="shared" si="0"/>
        <v>0</v>
      </c>
      <c r="H63" s="278" t="s">
        <v>9</v>
      </c>
      <c r="I63" s="120">
        <f t="shared" si="1"/>
        <v>0</v>
      </c>
      <c r="J63" s="424" t="s">
        <v>9</v>
      </c>
      <c r="K63" s="182"/>
      <c r="L63" s="282" t="s">
        <v>9</v>
      </c>
      <c r="M63" s="418" t="s">
        <v>9</v>
      </c>
      <c r="N63" s="279" t="s">
        <v>9</v>
      </c>
      <c r="O63" s="120">
        <f t="shared" si="2"/>
        <v>0</v>
      </c>
      <c r="P63" s="278" t="s">
        <v>9</v>
      </c>
      <c r="Q63" s="120">
        <f t="shared" si="3"/>
        <v>0</v>
      </c>
      <c r="R63" s="231" t="s">
        <v>9</v>
      </c>
      <c r="S63" s="71" t="s">
        <v>0</v>
      </c>
      <c r="T63">
        <v>45</v>
      </c>
      <c r="U63" s="333">
        <v>0.02488</v>
      </c>
      <c r="V63" s="333">
        <v>0.01416</v>
      </c>
      <c r="W63" s="333">
        <v>0.02483</v>
      </c>
      <c r="X63" s="334">
        <v>0.01129</v>
      </c>
      <c r="Y63" s="335">
        <v>0.04482</v>
      </c>
      <c r="Z63" s="335">
        <v>0.03331</v>
      </c>
      <c r="AA63" s="335">
        <v>0.03414</v>
      </c>
      <c r="AB63" s="336" t="str">
        <f>IF(Participant!$D$13="-","-",IF(I63&lt;&gt;0,I63*(1+HLOOKUP(Participant!$D$13,CF_Analysis!$U$18:$AA$118,CF_Analysis!T63+1,FALSE))^-T63,IF(ISNUMBER(J63),J63*(1+HLOOKUP(Participant!$D$13,CF_Analysis!$U$18:$AA$118,CF_Analysis!T63+1,FALSE))^-T63,"-")))</f>
        <v>-</v>
      </c>
      <c r="AC63">
        <v>45</v>
      </c>
      <c r="AD63" s="333">
        <v>0.02018</v>
      </c>
      <c r="AE63" s="333">
        <v>0.00946</v>
      </c>
      <c r="AF63" s="333">
        <v>0.02013</v>
      </c>
      <c r="AG63" s="333">
        <v>0.00659</v>
      </c>
      <c r="AH63" s="333">
        <v>0.04012</v>
      </c>
      <c r="AI63" s="333">
        <v>0.02861</v>
      </c>
      <c r="AJ63" s="333">
        <v>0.02944</v>
      </c>
      <c r="AK63" s="336" t="str">
        <f>IF(Participant!$D$13="-","-",IF(Q63&lt;&gt;0,Q63*(1+HLOOKUP(Participant!$D$13,$AD$18:$AJ$118,CF_Analysis!AC63+1,FALSE))^-AC63,IF(ISNUMBER(R63),R63*(1+HLOOKUP(Participant!$D$13,$AD$18:$AJ$118,CF_Analysis!AC63+1,FALSE))^-AC63,"-")))</f>
        <v>-</v>
      </c>
      <c r="AL63" s="71" t="s">
        <v>0</v>
      </c>
      <c r="AM63" s="51"/>
    </row>
    <row r="64" spans="3:39" ht="15" customHeight="1">
      <c r="C64" s="275">
        <v>46</v>
      </c>
      <c r="D64" s="282" t="s">
        <v>9</v>
      </c>
      <c r="E64" s="282" t="s">
        <v>9</v>
      </c>
      <c r="F64" s="279" t="s">
        <v>9</v>
      </c>
      <c r="G64" s="120">
        <f t="shared" si="0"/>
        <v>0</v>
      </c>
      <c r="H64" s="278" t="s">
        <v>9</v>
      </c>
      <c r="I64" s="120">
        <f t="shared" si="1"/>
        <v>0</v>
      </c>
      <c r="J64" s="424" t="s">
        <v>9</v>
      </c>
      <c r="K64" s="182"/>
      <c r="L64" s="282" t="s">
        <v>9</v>
      </c>
      <c r="M64" s="418" t="s">
        <v>9</v>
      </c>
      <c r="N64" s="279" t="s">
        <v>9</v>
      </c>
      <c r="O64" s="120">
        <f t="shared" si="2"/>
        <v>0</v>
      </c>
      <c r="P64" s="278" t="s">
        <v>9</v>
      </c>
      <c r="Q64" s="120">
        <f t="shared" si="3"/>
        <v>0</v>
      </c>
      <c r="R64" s="231" t="s">
        <v>9</v>
      </c>
      <c r="S64" s="71" t="s">
        <v>0</v>
      </c>
      <c r="T64">
        <v>46</v>
      </c>
      <c r="U64" s="333">
        <v>0.02524</v>
      </c>
      <c r="V64" s="333">
        <v>0.01452</v>
      </c>
      <c r="W64" s="333">
        <v>0.02518</v>
      </c>
      <c r="X64" s="334">
        <v>0.01115</v>
      </c>
      <c r="Y64" s="335">
        <v>0.04477</v>
      </c>
      <c r="Z64" s="335">
        <v>0.03349</v>
      </c>
      <c r="AA64" s="335">
        <v>0.03431</v>
      </c>
      <c r="AB64" s="336" t="str">
        <f>IF(Participant!$D$13="-","-",IF(I64&lt;&gt;0,I64*(1+HLOOKUP(Participant!$D$13,CF_Analysis!$U$18:$AA$118,CF_Analysis!T64+1,FALSE))^-T64,IF(ISNUMBER(J64),J64*(1+HLOOKUP(Participant!$D$13,CF_Analysis!$U$18:$AA$118,CF_Analysis!T64+1,FALSE))^-T64,"-")))</f>
        <v>-</v>
      </c>
      <c r="AC64">
        <v>46</v>
      </c>
      <c r="AD64" s="333">
        <v>0.02054</v>
      </c>
      <c r="AE64" s="333">
        <v>0.00982</v>
      </c>
      <c r="AF64" s="333">
        <v>0.02048</v>
      </c>
      <c r="AG64" s="333">
        <v>0.00645</v>
      </c>
      <c r="AH64" s="333">
        <v>0.04007</v>
      </c>
      <c r="AI64" s="333">
        <v>0.02879</v>
      </c>
      <c r="AJ64" s="333">
        <v>0.02961</v>
      </c>
      <c r="AK64" s="336" t="str">
        <f>IF(Participant!$D$13="-","-",IF(Q64&lt;&gt;0,Q64*(1+HLOOKUP(Participant!$D$13,$AD$18:$AJ$118,CF_Analysis!AC64+1,FALSE))^-AC64,IF(ISNUMBER(R64),R64*(1+HLOOKUP(Participant!$D$13,$AD$18:$AJ$118,CF_Analysis!AC64+1,FALSE))^-AC64,"-")))</f>
        <v>-</v>
      </c>
      <c r="AL64" s="71" t="s">
        <v>0</v>
      </c>
      <c r="AM64" s="51"/>
    </row>
    <row r="65" spans="3:39" ht="15" customHeight="1">
      <c r="C65" s="274">
        <v>47</v>
      </c>
      <c r="D65" s="282" t="s">
        <v>9</v>
      </c>
      <c r="E65" s="282" t="s">
        <v>9</v>
      </c>
      <c r="F65" s="279" t="s">
        <v>9</v>
      </c>
      <c r="G65" s="120">
        <f t="shared" si="0"/>
        <v>0</v>
      </c>
      <c r="H65" s="278" t="s">
        <v>9</v>
      </c>
      <c r="I65" s="120">
        <f t="shared" si="1"/>
        <v>0</v>
      </c>
      <c r="J65" s="424" t="s">
        <v>9</v>
      </c>
      <c r="K65" s="182"/>
      <c r="L65" s="282" t="s">
        <v>9</v>
      </c>
      <c r="M65" s="418" t="s">
        <v>9</v>
      </c>
      <c r="N65" s="279" t="s">
        <v>9</v>
      </c>
      <c r="O65" s="120">
        <f t="shared" si="2"/>
        <v>0</v>
      </c>
      <c r="P65" s="278" t="s">
        <v>9</v>
      </c>
      <c r="Q65" s="120">
        <f t="shared" si="3"/>
        <v>0</v>
      </c>
      <c r="R65" s="231" t="s">
        <v>9</v>
      </c>
      <c r="S65" s="71" t="s">
        <v>0</v>
      </c>
      <c r="T65">
        <v>47</v>
      </c>
      <c r="U65" s="333">
        <v>0.02558</v>
      </c>
      <c r="V65" s="333">
        <v>0.01487</v>
      </c>
      <c r="W65" s="333">
        <v>0.02552</v>
      </c>
      <c r="X65" s="334">
        <v>0.011</v>
      </c>
      <c r="Y65" s="335">
        <v>0.04471</v>
      </c>
      <c r="Z65" s="335">
        <v>0.03366</v>
      </c>
      <c r="AA65" s="335">
        <v>0.03448</v>
      </c>
      <c r="AB65" s="336" t="str">
        <f>IF(Participant!$D$13="-","-",IF(I65&lt;&gt;0,I65*(1+HLOOKUP(Participant!$D$13,CF_Analysis!$U$18:$AA$118,CF_Analysis!T65+1,FALSE))^-T65,IF(ISNUMBER(J65),J65*(1+HLOOKUP(Participant!$D$13,CF_Analysis!$U$18:$AA$118,CF_Analysis!T65+1,FALSE))^-T65,"-")))</f>
        <v>-</v>
      </c>
      <c r="AC65">
        <v>47</v>
      </c>
      <c r="AD65" s="333">
        <v>0.02088</v>
      </c>
      <c r="AE65" s="333">
        <v>0.01017</v>
      </c>
      <c r="AF65" s="333">
        <v>0.02082</v>
      </c>
      <c r="AG65" s="333">
        <v>0.0063</v>
      </c>
      <c r="AH65" s="333">
        <v>0.04001</v>
      </c>
      <c r="AI65" s="333">
        <v>0.02896</v>
      </c>
      <c r="AJ65" s="333">
        <v>0.02978</v>
      </c>
      <c r="AK65" s="336" t="str">
        <f>IF(Participant!$D$13="-","-",IF(Q65&lt;&gt;0,Q65*(1+HLOOKUP(Participant!$D$13,$AD$18:$AJ$118,CF_Analysis!AC65+1,FALSE))^-AC65,IF(ISNUMBER(R65),R65*(1+HLOOKUP(Participant!$D$13,$AD$18:$AJ$118,CF_Analysis!AC65+1,FALSE))^-AC65,"-")))</f>
        <v>-</v>
      </c>
      <c r="AL65" s="71" t="s">
        <v>0</v>
      </c>
      <c r="AM65" s="51"/>
    </row>
    <row r="66" spans="3:39" ht="15" customHeight="1">
      <c r="C66" s="275">
        <v>48</v>
      </c>
      <c r="D66" s="282" t="s">
        <v>9</v>
      </c>
      <c r="E66" s="282" t="s">
        <v>9</v>
      </c>
      <c r="F66" s="279" t="s">
        <v>9</v>
      </c>
      <c r="G66" s="120">
        <f t="shared" si="0"/>
        <v>0</v>
      </c>
      <c r="H66" s="278" t="s">
        <v>9</v>
      </c>
      <c r="I66" s="120">
        <f t="shared" si="1"/>
        <v>0</v>
      </c>
      <c r="J66" s="424" t="s">
        <v>9</v>
      </c>
      <c r="K66" s="182"/>
      <c r="L66" s="282" t="s">
        <v>9</v>
      </c>
      <c r="M66" s="418" t="s">
        <v>9</v>
      </c>
      <c r="N66" s="279" t="s">
        <v>9</v>
      </c>
      <c r="O66" s="120">
        <f t="shared" si="2"/>
        <v>0</v>
      </c>
      <c r="P66" s="278" t="s">
        <v>9</v>
      </c>
      <c r="Q66" s="120">
        <f t="shared" si="3"/>
        <v>0</v>
      </c>
      <c r="R66" s="231" t="s">
        <v>9</v>
      </c>
      <c r="S66" s="71" t="s">
        <v>0</v>
      </c>
      <c r="T66">
        <v>48</v>
      </c>
      <c r="U66" s="333">
        <v>0.02591</v>
      </c>
      <c r="V66" s="333">
        <v>0.0152</v>
      </c>
      <c r="W66" s="333">
        <v>0.02585</v>
      </c>
      <c r="X66" s="334">
        <v>0.01088</v>
      </c>
      <c r="Y66" s="335">
        <v>0.04466</v>
      </c>
      <c r="Z66" s="335">
        <v>0.03383</v>
      </c>
      <c r="AA66" s="335">
        <v>0.03463</v>
      </c>
      <c r="AB66" s="336" t="str">
        <f>IF(Participant!$D$13="-","-",IF(I66&lt;&gt;0,I66*(1+HLOOKUP(Participant!$D$13,CF_Analysis!$U$18:$AA$118,CF_Analysis!T66+1,FALSE))^-T66,IF(ISNUMBER(J66),J66*(1+HLOOKUP(Participant!$D$13,CF_Analysis!$U$18:$AA$118,CF_Analysis!T66+1,FALSE))^-T66,"-")))</f>
        <v>-</v>
      </c>
      <c r="AC66">
        <v>48</v>
      </c>
      <c r="AD66" s="333">
        <v>0.02121</v>
      </c>
      <c r="AE66" s="333">
        <v>0.0105</v>
      </c>
      <c r="AF66" s="333">
        <v>0.02115</v>
      </c>
      <c r="AG66" s="333">
        <v>0.00618</v>
      </c>
      <c r="AH66" s="333">
        <v>0.03996</v>
      </c>
      <c r="AI66" s="333">
        <v>0.02913</v>
      </c>
      <c r="AJ66" s="333">
        <v>0.02993</v>
      </c>
      <c r="AK66" s="336" t="str">
        <f>IF(Participant!$D$13="-","-",IF(Q66&lt;&gt;0,Q66*(1+HLOOKUP(Participant!$D$13,$AD$18:$AJ$118,CF_Analysis!AC66+1,FALSE))^-AC66,IF(ISNUMBER(R66),R66*(1+HLOOKUP(Participant!$D$13,$AD$18:$AJ$118,CF_Analysis!AC66+1,FALSE))^-AC66,"-")))</f>
        <v>-</v>
      </c>
      <c r="AL66" s="71" t="s">
        <v>0</v>
      </c>
      <c r="AM66" s="51"/>
    </row>
    <row r="67" spans="3:39" ht="15" customHeight="1">
      <c r="C67" s="274">
        <v>49</v>
      </c>
      <c r="D67" s="282" t="s">
        <v>9</v>
      </c>
      <c r="E67" s="282" t="s">
        <v>9</v>
      </c>
      <c r="F67" s="279" t="s">
        <v>9</v>
      </c>
      <c r="G67" s="120">
        <f t="shared" si="0"/>
        <v>0</v>
      </c>
      <c r="H67" s="278" t="s">
        <v>9</v>
      </c>
      <c r="I67" s="120">
        <f t="shared" si="1"/>
        <v>0</v>
      </c>
      <c r="J67" s="424" t="s">
        <v>9</v>
      </c>
      <c r="K67" s="182"/>
      <c r="L67" s="282" t="s">
        <v>9</v>
      </c>
      <c r="M67" s="418" t="s">
        <v>9</v>
      </c>
      <c r="N67" s="279" t="s">
        <v>9</v>
      </c>
      <c r="O67" s="120">
        <f t="shared" si="2"/>
        <v>0</v>
      </c>
      <c r="P67" s="278" t="s">
        <v>9</v>
      </c>
      <c r="Q67" s="120">
        <f t="shared" si="3"/>
        <v>0</v>
      </c>
      <c r="R67" s="231" t="s">
        <v>9</v>
      </c>
      <c r="S67" s="71" t="s">
        <v>0</v>
      </c>
      <c r="T67">
        <v>49</v>
      </c>
      <c r="U67" s="333">
        <v>0.02622</v>
      </c>
      <c r="V67" s="333">
        <v>0.01552</v>
      </c>
      <c r="W67" s="333">
        <v>0.02617</v>
      </c>
      <c r="X67" s="334">
        <v>0.01081</v>
      </c>
      <c r="Y67" s="335">
        <v>0.04461</v>
      </c>
      <c r="Z67" s="335">
        <v>0.03398</v>
      </c>
      <c r="AA67" s="335">
        <v>0.03478</v>
      </c>
      <c r="AB67" s="336" t="str">
        <f>IF(Participant!$D$13="-","-",IF(I67&lt;&gt;0,I67*(1+HLOOKUP(Participant!$D$13,CF_Analysis!$U$18:$AA$118,CF_Analysis!T67+1,FALSE))^-T67,IF(ISNUMBER(J67),J67*(1+HLOOKUP(Participant!$D$13,CF_Analysis!$U$18:$AA$118,CF_Analysis!T67+1,FALSE))^-T67,"-")))</f>
        <v>-</v>
      </c>
      <c r="AC67">
        <v>49</v>
      </c>
      <c r="AD67" s="333">
        <v>0.02152</v>
      </c>
      <c r="AE67" s="333">
        <v>0.01082</v>
      </c>
      <c r="AF67" s="333">
        <v>0.02147</v>
      </c>
      <c r="AG67" s="333">
        <v>0.00611</v>
      </c>
      <c r="AH67" s="333">
        <v>0.03991</v>
      </c>
      <c r="AI67" s="333">
        <v>0.02928</v>
      </c>
      <c r="AJ67" s="333">
        <v>0.03008</v>
      </c>
      <c r="AK67" s="336" t="str">
        <f>IF(Participant!$D$13="-","-",IF(Q67&lt;&gt;0,Q67*(1+HLOOKUP(Participant!$D$13,$AD$18:$AJ$118,CF_Analysis!AC67+1,FALSE))^-AC67,IF(ISNUMBER(R67),R67*(1+HLOOKUP(Participant!$D$13,$AD$18:$AJ$118,CF_Analysis!AC67+1,FALSE))^-AC67,"-")))</f>
        <v>-</v>
      </c>
      <c r="AL67" s="71" t="s">
        <v>0</v>
      </c>
      <c r="AM67" s="51"/>
    </row>
    <row r="68" spans="3:39" ht="15" customHeight="1">
      <c r="C68" s="275">
        <v>50</v>
      </c>
      <c r="D68" s="282" t="s">
        <v>9</v>
      </c>
      <c r="E68" s="282" t="s">
        <v>9</v>
      </c>
      <c r="F68" s="279" t="s">
        <v>9</v>
      </c>
      <c r="G68" s="120">
        <f t="shared" si="0"/>
        <v>0</v>
      </c>
      <c r="H68" s="278" t="s">
        <v>9</v>
      </c>
      <c r="I68" s="120">
        <f t="shared" si="1"/>
        <v>0</v>
      </c>
      <c r="J68" s="424" t="s">
        <v>9</v>
      </c>
      <c r="K68" s="182"/>
      <c r="L68" s="282" t="s">
        <v>9</v>
      </c>
      <c r="M68" s="418" t="s">
        <v>9</v>
      </c>
      <c r="N68" s="279" t="s">
        <v>9</v>
      </c>
      <c r="O68" s="120">
        <f t="shared" si="2"/>
        <v>0</v>
      </c>
      <c r="P68" s="278" t="s">
        <v>9</v>
      </c>
      <c r="Q68" s="120">
        <f t="shared" si="3"/>
        <v>0</v>
      </c>
      <c r="R68" s="231" t="s">
        <v>9</v>
      </c>
      <c r="S68" s="71" t="s">
        <v>0</v>
      </c>
      <c r="T68">
        <v>50</v>
      </c>
      <c r="U68" s="333">
        <v>0.02653</v>
      </c>
      <c r="V68" s="333">
        <v>0.01584</v>
      </c>
      <c r="W68" s="333">
        <v>0.02648</v>
      </c>
      <c r="X68" s="334">
        <v>0.01082</v>
      </c>
      <c r="Y68" s="335">
        <v>0.04457</v>
      </c>
      <c r="Z68" s="335">
        <v>0.03414</v>
      </c>
      <c r="AA68" s="335">
        <v>0.03493</v>
      </c>
      <c r="AB68" s="336" t="str">
        <f>IF(Participant!$D$13="-","-",IF(I68&lt;&gt;0,I68*(1+HLOOKUP(Participant!$D$13,CF_Analysis!$U$18:$AA$118,CF_Analysis!T68+1,FALSE))^-T68,IF(ISNUMBER(J68),J68*(1+HLOOKUP(Participant!$D$13,CF_Analysis!$U$18:$AA$118,CF_Analysis!T68+1,FALSE))^-T68,"-")))</f>
        <v>-</v>
      </c>
      <c r="AC68">
        <v>50</v>
      </c>
      <c r="AD68" s="333">
        <v>0.02183</v>
      </c>
      <c r="AE68" s="333">
        <v>0.01114</v>
      </c>
      <c r="AF68" s="333">
        <v>0.02178</v>
      </c>
      <c r="AG68" s="333">
        <v>0.00612</v>
      </c>
      <c r="AH68" s="333">
        <v>0.03987</v>
      </c>
      <c r="AI68" s="333">
        <v>0.02944</v>
      </c>
      <c r="AJ68" s="333">
        <v>0.03023</v>
      </c>
      <c r="AK68" s="336" t="str">
        <f>IF(Participant!$D$13="-","-",IF(Q68&lt;&gt;0,Q68*(1+HLOOKUP(Participant!$D$13,$AD$18:$AJ$118,CF_Analysis!AC68+1,FALSE))^-AC68,IF(ISNUMBER(R68),R68*(1+HLOOKUP(Participant!$D$13,$AD$18:$AJ$118,CF_Analysis!AC68+1,FALSE))^-AC68,"-")))</f>
        <v>-</v>
      </c>
      <c r="AL68" s="71" t="s">
        <v>0</v>
      </c>
      <c r="AM68" s="51"/>
    </row>
    <row r="69" spans="3:39" ht="15" customHeight="1">
      <c r="C69" s="274">
        <v>51</v>
      </c>
      <c r="D69" s="282" t="s">
        <v>9</v>
      </c>
      <c r="E69" s="282" t="s">
        <v>9</v>
      </c>
      <c r="F69" s="279" t="s">
        <v>9</v>
      </c>
      <c r="G69" s="120">
        <f t="shared" si="0"/>
        <v>0</v>
      </c>
      <c r="H69" s="278" t="s">
        <v>9</v>
      </c>
      <c r="I69" s="120">
        <f t="shared" si="1"/>
        <v>0</v>
      </c>
      <c r="J69" s="424" t="s">
        <v>9</v>
      </c>
      <c r="K69" s="182"/>
      <c r="L69" s="282" t="s">
        <v>9</v>
      </c>
      <c r="M69" s="418" t="s">
        <v>9</v>
      </c>
      <c r="N69" s="279" t="s">
        <v>9</v>
      </c>
      <c r="O69" s="120">
        <f t="shared" si="2"/>
        <v>0</v>
      </c>
      <c r="P69" s="278" t="s">
        <v>9</v>
      </c>
      <c r="Q69" s="120">
        <f t="shared" si="3"/>
        <v>0</v>
      </c>
      <c r="R69" s="231" t="s">
        <v>9</v>
      </c>
      <c r="S69" s="71" t="s">
        <v>0</v>
      </c>
      <c r="T69">
        <v>51</v>
      </c>
      <c r="U69" s="333">
        <v>0.02682</v>
      </c>
      <c r="V69" s="333">
        <v>0.01614</v>
      </c>
      <c r="W69" s="333">
        <v>0.02677</v>
      </c>
      <c r="X69" s="334">
        <v>0.01091</v>
      </c>
      <c r="Y69" s="335">
        <v>0.04452</v>
      </c>
      <c r="Z69" s="335">
        <v>0.03429</v>
      </c>
      <c r="AA69" s="335">
        <v>0.03506</v>
      </c>
      <c r="AB69" s="336" t="str">
        <f>IF(Participant!$D$13="-","-",IF(I69&lt;&gt;0,I69*(1+HLOOKUP(Participant!$D$13,CF_Analysis!$U$18:$AA$118,CF_Analysis!T69+1,FALSE))^-T69,IF(ISNUMBER(J69),J69*(1+HLOOKUP(Participant!$D$13,CF_Analysis!$U$18:$AA$118,CF_Analysis!T69+1,FALSE))^-T69,"-")))</f>
        <v>-</v>
      </c>
      <c r="AC69">
        <v>51</v>
      </c>
      <c r="AD69" s="333">
        <v>0.02212</v>
      </c>
      <c r="AE69" s="333">
        <v>0.01144</v>
      </c>
      <c r="AF69" s="333">
        <v>0.02207</v>
      </c>
      <c r="AG69" s="333">
        <v>0.00621</v>
      </c>
      <c r="AH69" s="333">
        <v>0.03982</v>
      </c>
      <c r="AI69" s="333">
        <v>0.02959</v>
      </c>
      <c r="AJ69" s="333">
        <v>0.03036</v>
      </c>
      <c r="AK69" s="336" t="str">
        <f>IF(Participant!$D$13="-","-",IF(Q69&lt;&gt;0,Q69*(1+HLOOKUP(Participant!$D$13,$AD$18:$AJ$118,CF_Analysis!AC69+1,FALSE))^-AC69,IF(ISNUMBER(R69),R69*(1+HLOOKUP(Participant!$D$13,$AD$18:$AJ$118,CF_Analysis!AC69+1,FALSE))^-AC69,"-")))</f>
        <v>-</v>
      </c>
      <c r="AL69" s="71" t="s">
        <v>0</v>
      </c>
      <c r="AM69" s="51"/>
    </row>
    <row r="70" spans="3:39" ht="15" customHeight="1">
      <c r="C70" s="275">
        <v>52</v>
      </c>
      <c r="D70" s="282" t="s">
        <v>9</v>
      </c>
      <c r="E70" s="282" t="s">
        <v>9</v>
      </c>
      <c r="F70" s="279" t="s">
        <v>9</v>
      </c>
      <c r="G70" s="120">
        <f t="shared" si="0"/>
        <v>0</v>
      </c>
      <c r="H70" s="278" t="s">
        <v>9</v>
      </c>
      <c r="I70" s="120">
        <f t="shared" si="1"/>
        <v>0</v>
      </c>
      <c r="J70" s="424" t="s">
        <v>9</v>
      </c>
      <c r="K70" s="182"/>
      <c r="L70" s="282" t="s">
        <v>9</v>
      </c>
      <c r="M70" s="418" t="s">
        <v>9</v>
      </c>
      <c r="N70" s="279" t="s">
        <v>9</v>
      </c>
      <c r="O70" s="120">
        <f t="shared" si="2"/>
        <v>0</v>
      </c>
      <c r="P70" s="278" t="s">
        <v>9</v>
      </c>
      <c r="Q70" s="120">
        <f t="shared" si="3"/>
        <v>0</v>
      </c>
      <c r="R70" s="231" t="s">
        <v>9</v>
      </c>
      <c r="S70" s="71" t="s">
        <v>0</v>
      </c>
      <c r="T70">
        <v>52</v>
      </c>
      <c r="U70" s="333">
        <v>0.02711</v>
      </c>
      <c r="V70" s="333">
        <v>0.01643</v>
      </c>
      <c r="W70" s="333">
        <v>0.02706</v>
      </c>
      <c r="X70" s="334">
        <v>0.01107</v>
      </c>
      <c r="Y70" s="335">
        <v>0.04448</v>
      </c>
      <c r="Z70" s="335">
        <v>0.03443</v>
      </c>
      <c r="AA70" s="335">
        <v>0.0352</v>
      </c>
      <c r="AB70" s="336" t="str">
        <f>IF(Participant!$D$13="-","-",IF(I70&lt;&gt;0,I70*(1+HLOOKUP(Participant!$D$13,CF_Analysis!$U$18:$AA$118,CF_Analysis!T70+1,FALSE))^-T70,IF(ISNUMBER(J70),J70*(1+HLOOKUP(Participant!$D$13,CF_Analysis!$U$18:$AA$118,CF_Analysis!T70+1,FALSE))^-T70,"-")))</f>
        <v>-</v>
      </c>
      <c r="AC70">
        <v>52</v>
      </c>
      <c r="AD70" s="333">
        <v>0.02241</v>
      </c>
      <c r="AE70" s="333">
        <v>0.01173</v>
      </c>
      <c r="AF70" s="333">
        <v>0.02236</v>
      </c>
      <c r="AG70" s="333">
        <v>0.00637</v>
      </c>
      <c r="AH70" s="333">
        <v>0.03978</v>
      </c>
      <c r="AI70" s="333">
        <v>0.02973</v>
      </c>
      <c r="AJ70" s="333">
        <v>0.0305</v>
      </c>
      <c r="AK70" s="336" t="str">
        <f>IF(Participant!$D$13="-","-",IF(Q70&lt;&gt;0,Q70*(1+HLOOKUP(Participant!$D$13,$AD$18:$AJ$118,CF_Analysis!AC70+1,FALSE))^-AC70,IF(ISNUMBER(R70),R70*(1+HLOOKUP(Participant!$D$13,$AD$18:$AJ$118,CF_Analysis!AC70+1,FALSE))^-AC70,"-")))</f>
        <v>-</v>
      </c>
      <c r="AL70" s="71" t="s">
        <v>0</v>
      </c>
      <c r="AM70" s="51"/>
    </row>
    <row r="71" spans="3:39" ht="15" customHeight="1">
      <c r="C71" s="274">
        <v>53</v>
      </c>
      <c r="D71" s="282" t="s">
        <v>9</v>
      </c>
      <c r="E71" s="282" t="s">
        <v>9</v>
      </c>
      <c r="F71" s="279" t="s">
        <v>9</v>
      </c>
      <c r="G71" s="120">
        <f t="shared" si="0"/>
        <v>0</v>
      </c>
      <c r="H71" s="278" t="s">
        <v>9</v>
      </c>
      <c r="I71" s="120">
        <f t="shared" si="1"/>
        <v>0</v>
      </c>
      <c r="J71" s="424" t="s">
        <v>9</v>
      </c>
      <c r="K71" s="182"/>
      <c r="L71" s="282" t="s">
        <v>9</v>
      </c>
      <c r="M71" s="418" t="s">
        <v>9</v>
      </c>
      <c r="N71" s="279" t="s">
        <v>9</v>
      </c>
      <c r="O71" s="120">
        <f t="shared" si="2"/>
        <v>0</v>
      </c>
      <c r="P71" s="278" t="s">
        <v>9</v>
      </c>
      <c r="Q71" s="120">
        <f t="shared" si="3"/>
        <v>0</v>
      </c>
      <c r="R71" s="231" t="s">
        <v>9</v>
      </c>
      <c r="S71" s="71" t="s">
        <v>0</v>
      </c>
      <c r="T71">
        <v>53</v>
      </c>
      <c r="U71" s="333">
        <v>0.02738</v>
      </c>
      <c r="V71" s="333">
        <v>0.01671</v>
      </c>
      <c r="W71" s="333">
        <v>0.02733</v>
      </c>
      <c r="X71" s="334">
        <v>0.01129</v>
      </c>
      <c r="Y71" s="335">
        <v>0.04443</v>
      </c>
      <c r="Z71" s="335">
        <v>0.03457</v>
      </c>
      <c r="AA71" s="335">
        <v>0.03533</v>
      </c>
      <c r="AB71" s="336" t="str">
        <f>IF(Participant!$D$13="-","-",IF(I71&lt;&gt;0,I71*(1+HLOOKUP(Participant!$D$13,CF_Analysis!$U$18:$AA$118,CF_Analysis!T71+1,FALSE))^-T71,IF(ISNUMBER(J71),J71*(1+HLOOKUP(Participant!$D$13,CF_Analysis!$U$18:$AA$118,CF_Analysis!T71+1,FALSE))^-T71,"-")))</f>
        <v>-</v>
      </c>
      <c r="AC71">
        <v>53</v>
      </c>
      <c r="AD71" s="333">
        <v>0.02268</v>
      </c>
      <c r="AE71" s="333">
        <v>0.01201</v>
      </c>
      <c r="AF71" s="333">
        <v>0.02263</v>
      </c>
      <c r="AG71" s="333">
        <v>0.00659</v>
      </c>
      <c r="AH71" s="333">
        <v>0.03973</v>
      </c>
      <c r="AI71" s="333">
        <v>0.02987</v>
      </c>
      <c r="AJ71" s="333">
        <v>0.03063</v>
      </c>
      <c r="AK71" s="336" t="str">
        <f>IF(Participant!$D$13="-","-",IF(Q71&lt;&gt;0,Q71*(1+HLOOKUP(Participant!$D$13,$AD$18:$AJ$118,CF_Analysis!AC71+1,FALSE))^-AC71,IF(ISNUMBER(R71),R71*(1+HLOOKUP(Participant!$D$13,$AD$18:$AJ$118,CF_Analysis!AC71+1,FALSE))^-AC71,"-")))</f>
        <v>-</v>
      </c>
      <c r="AL71" s="71" t="s">
        <v>0</v>
      </c>
      <c r="AM71" s="51"/>
    </row>
    <row r="72" spans="3:39" ht="15" customHeight="1">
      <c r="C72" s="275">
        <v>54</v>
      </c>
      <c r="D72" s="282" t="s">
        <v>9</v>
      </c>
      <c r="E72" s="282" t="s">
        <v>9</v>
      </c>
      <c r="F72" s="279" t="s">
        <v>9</v>
      </c>
      <c r="G72" s="120">
        <f t="shared" si="0"/>
        <v>0</v>
      </c>
      <c r="H72" s="278" t="s">
        <v>9</v>
      </c>
      <c r="I72" s="120">
        <f t="shared" si="1"/>
        <v>0</v>
      </c>
      <c r="J72" s="424" t="s">
        <v>9</v>
      </c>
      <c r="K72" s="182"/>
      <c r="L72" s="282" t="s">
        <v>9</v>
      </c>
      <c r="M72" s="418" t="s">
        <v>9</v>
      </c>
      <c r="N72" s="279" t="s">
        <v>9</v>
      </c>
      <c r="O72" s="120">
        <f t="shared" si="2"/>
        <v>0</v>
      </c>
      <c r="P72" s="278" t="s">
        <v>9</v>
      </c>
      <c r="Q72" s="120">
        <f t="shared" si="3"/>
        <v>0</v>
      </c>
      <c r="R72" s="231" t="s">
        <v>9</v>
      </c>
      <c r="S72" s="71" t="s">
        <v>0</v>
      </c>
      <c r="T72">
        <v>54</v>
      </c>
      <c r="U72" s="333">
        <v>0.02764</v>
      </c>
      <c r="V72" s="333">
        <v>0.01698</v>
      </c>
      <c r="W72" s="333">
        <v>0.0276</v>
      </c>
      <c r="X72" s="334">
        <v>0.01155</v>
      </c>
      <c r="Y72" s="335">
        <v>0.04439</v>
      </c>
      <c r="Z72" s="335">
        <v>0.0347</v>
      </c>
      <c r="AA72" s="335">
        <v>0.03545</v>
      </c>
      <c r="AB72" s="336" t="str">
        <f>IF(Participant!$D$13="-","-",IF(I72&lt;&gt;0,I72*(1+HLOOKUP(Participant!$D$13,CF_Analysis!$U$18:$AA$118,CF_Analysis!T72+1,FALSE))^-T72,IF(ISNUMBER(J72),J72*(1+HLOOKUP(Participant!$D$13,CF_Analysis!$U$18:$AA$118,CF_Analysis!T72+1,FALSE))^-T72,"-")))</f>
        <v>-</v>
      </c>
      <c r="AC72">
        <v>54</v>
      </c>
      <c r="AD72" s="333">
        <v>0.02294</v>
      </c>
      <c r="AE72" s="333">
        <v>0.01228</v>
      </c>
      <c r="AF72" s="333">
        <v>0.0229</v>
      </c>
      <c r="AG72" s="333">
        <v>0.00685</v>
      </c>
      <c r="AH72" s="333">
        <v>0.03969</v>
      </c>
      <c r="AI72" s="333">
        <v>0.03</v>
      </c>
      <c r="AJ72" s="333">
        <v>0.03075</v>
      </c>
      <c r="AK72" s="336" t="str">
        <f>IF(Participant!$D$13="-","-",IF(Q72&lt;&gt;0,Q72*(1+HLOOKUP(Participant!$D$13,$AD$18:$AJ$118,CF_Analysis!AC72+1,FALSE))^-AC72,IF(ISNUMBER(R72),R72*(1+HLOOKUP(Participant!$D$13,$AD$18:$AJ$118,CF_Analysis!AC72+1,FALSE))^-AC72,"-")))</f>
        <v>-</v>
      </c>
      <c r="AL72" s="71" t="s">
        <v>0</v>
      </c>
      <c r="AM72" s="51"/>
    </row>
    <row r="73" spans="3:39" ht="15" customHeight="1">
      <c r="C73" s="274">
        <v>55</v>
      </c>
      <c r="D73" s="282" t="s">
        <v>9</v>
      </c>
      <c r="E73" s="282" t="s">
        <v>9</v>
      </c>
      <c r="F73" s="279" t="s">
        <v>9</v>
      </c>
      <c r="G73" s="120">
        <f t="shared" si="0"/>
        <v>0</v>
      </c>
      <c r="H73" s="278" t="s">
        <v>9</v>
      </c>
      <c r="I73" s="120">
        <f t="shared" si="1"/>
        <v>0</v>
      </c>
      <c r="J73" s="424" t="s">
        <v>9</v>
      </c>
      <c r="K73" s="182"/>
      <c r="L73" s="282" t="s">
        <v>9</v>
      </c>
      <c r="M73" s="418" t="s">
        <v>9</v>
      </c>
      <c r="N73" s="279" t="s">
        <v>9</v>
      </c>
      <c r="O73" s="120">
        <f t="shared" si="2"/>
        <v>0</v>
      </c>
      <c r="P73" s="278" t="s">
        <v>9</v>
      </c>
      <c r="Q73" s="120">
        <f t="shared" si="3"/>
        <v>0</v>
      </c>
      <c r="R73" s="231" t="s">
        <v>9</v>
      </c>
      <c r="S73" s="71" t="s">
        <v>0</v>
      </c>
      <c r="T73">
        <v>55</v>
      </c>
      <c r="U73" s="333">
        <v>0.0279</v>
      </c>
      <c r="V73" s="333">
        <v>0.01725</v>
      </c>
      <c r="W73" s="333">
        <v>0.02785</v>
      </c>
      <c r="X73" s="334">
        <v>0.01184</v>
      </c>
      <c r="Y73" s="335">
        <v>0.04435</v>
      </c>
      <c r="Z73" s="335">
        <v>0.03483</v>
      </c>
      <c r="AA73" s="335">
        <v>0.03557</v>
      </c>
      <c r="AB73" s="336" t="str">
        <f>IF(Participant!$D$13="-","-",IF(I73&lt;&gt;0,I73*(1+HLOOKUP(Participant!$D$13,CF_Analysis!$U$18:$AA$118,CF_Analysis!T73+1,FALSE))^-T73,IF(ISNUMBER(J73),J73*(1+HLOOKUP(Participant!$D$13,CF_Analysis!$U$18:$AA$118,CF_Analysis!T73+1,FALSE))^-T73,"-")))</f>
        <v>-</v>
      </c>
      <c r="AC73">
        <v>55</v>
      </c>
      <c r="AD73" s="333">
        <v>0.0232</v>
      </c>
      <c r="AE73" s="333">
        <v>0.01255</v>
      </c>
      <c r="AF73" s="333">
        <v>0.02315</v>
      </c>
      <c r="AG73" s="333">
        <v>0.00714</v>
      </c>
      <c r="AH73" s="333">
        <v>0.03965</v>
      </c>
      <c r="AI73" s="333">
        <v>0.03013</v>
      </c>
      <c r="AJ73" s="333">
        <v>0.03087</v>
      </c>
      <c r="AK73" s="336" t="str">
        <f>IF(Participant!$D$13="-","-",IF(Q73&lt;&gt;0,Q73*(1+HLOOKUP(Participant!$D$13,$AD$18:$AJ$118,CF_Analysis!AC73+1,FALSE))^-AC73,IF(ISNUMBER(R73),R73*(1+HLOOKUP(Participant!$D$13,$AD$18:$AJ$118,CF_Analysis!AC73+1,FALSE))^-AC73,"-")))</f>
        <v>-</v>
      </c>
      <c r="AL73" s="71" t="s">
        <v>0</v>
      </c>
      <c r="AM73" s="51"/>
    </row>
    <row r="74" spans="3:39" ht="15" customHeight="1">
      <c r="C74" s="275">
        <v>56</v>
      </c>
      <c r="D74" s="282" t="s">
        <v>9</v>
      </c>
      <c r="E74" s="282" t="s">
        <v>9</v>
      </c>
      <c r="F74" s="279" t="s">
        <v>9</v>
      </c>
      <c r="G74" s="120">
        <f t="shared" si="0"/>
        <v>0</v>
      </c>
      <c r="H74" s="278" t="s">
        <v>9</v>
      </c>
      <c r="I74" s="120">
        <f t="shared" si="1"/>
        <v>0</v>
      </c>
      <c r="J74" s="424" t="s">
        <v>9</v>
      </c>
      <c r="K74" s="182"/>
      <c r="L74" s="282" t="s">
        <v>9</v>
      </c>
      <c r="M74" s="418" t="s">
        <v>9</v>
      </c>
      <c r="N74" s="279" t="s">
        <v>9</v>
      </c>
      <c r="O74" s="120">
        <f t="shared" si="2"/>
        <v>0</v>
      </c>
      <c r="P74" s="278" t="s">
        <v>9</v>
      </c>
      <c r="Q74" s="120">
        <f t="shared" si="3"/>
        <v>0</v>
      </c>
      <c r="R74" s="231" t="s">
        <v>9</v>
      </c>
      <c r="S74" s="71" t="s">
        <v>0</v>
      </c>
      <c r="T74">
        <v>56</v>
      </c>
      <c r="U74" s="333">
        <v>0.02815</v>
      </c>
      <c r="V74" s="333">
        <v>0.0175</v>
      </c>
      <c r="W74" s="333">
        <v>0.0281</v>
      </c>
      <c r="X74" s="334">
        <v>0.01215</v>
      </c>
      <c r="Y74" s="335">
        <v>0.04431</v>
      </c>
      <c r="Z74" s="335">
        <v>0.03496</v>
      </c>
      <c r="AA74" s="335">
        <v>0.03568</v>
      </c>
      <c r="AB74" s="336" t="str">
        <f>IF(Participant!$D$13="-","-",IF(I74&lt;&gt;0,I74*(1+HLOOKUP(Participant!$D$13,CF_Analysis!$U$18:$AA$118,CF_Analysis!T74+1,FALSE))^-T74,IF(ISNUMBER(J74),J74*(1+HLOOKUP(Participant!$D$13,CF_Analysis!$U$18:$AA$118,CF_Analysis!T74+1,FALSE))^-T74,"-")))</f>
        <v>-</v>
      </c>
      <c r="AC74">
        <v>56</v>
      </c>
      <c r="AD74" s="333">
        <v>0.02345</v>
      </c>
      <c r="AE74" s="333">
        <v>0.0128</v>
      </c>
      <c r="AF74" s="333">
        <v>0.0234</v>
      </c>
      <c r="AG74" s="333">
        <v>0.00745</v>
      </c>
      <c r="AH74" s="333">
        <v>0.03961</v>
      </c>
      <c r="AI74" s="333">
        <v>0.03026</v>
      </c>
      <c r="AJ74" s="333">
        <v>0.03098</v>
      </c>
      <c r="AK74" s="336" t="str">
        <f>IF(Participant!$D$13="-","-",IF(Q74&lt;&gt;0,Q74*(1+HLOOKUP(Participant!$D$13,$AD$18:$AJ$118,CF_Analysis!AC74+1,FALSE))^-AC74,IF(ISNUMBER(R74),R74*(1+HLOOKUP(Participant!$D$13,$AD$18:$AJ$118,CF_Analysis!AC74+1,FALSE))^-AC74,"-")))</f>
        <v>-</v>
      </c>
      <c r="AL74" s="71" t="s">
        <v>0</v>
      </c>
      <c r="AM74" s="51"/>
    </row>
    <row r="75" spans="3:39" ht="15" customHeight="1">
      <c r="C75" s="274">
        <v>57</v>
      </c>
      <c r="D75" s="282" t="s">
        <v>9</v>
      </c>
      <c r="E75" s="282" t="s">
        <v>9</v>
      </c>
      <c r="F75" s="279" t="s">
        <v>9</v>
      </c>
      <c r="G75" s="120">
        <f aca="true" t="shared" si="4" ref="G75:G118">SUM(E75)+SUM(F75)</f>
        <v>0</v>
      </c>
      <c r="H75" s="278" t="s">
        <v>9</v>
      </c>
      <c r="I75" s="120">
        <f aca="true" t="shared" si="5" ref="I75:I118">IF(G75&lt;&gt;0,SUM(G75)-SUM(D75),SUM(H75)-SUM(D75))</f>
        <v>0</v>
      </c>
      <c r="J75" s="424" t="s">
        <v>9</v>
      </c>
      <c r="K75" s="182"/>
      <c r="L75" s="282" t="s">
        <v>9</v>
      </c>
      <c r="M75" s="418" t="s">
        <v>9</v>
      </c>
      <c r="N75" s="279" t="s">
        <v>9</v>
      </c>
      <c r="O75" s="120">
        <f aca="true" t="shared" si="6" ref="O75:O118">SUM(M75)+SUM(N75)</f>
        <v>0</v>
      </c>
      <c r="P75" s="278" t="s">
        <v>9</v>
      </c>
      <c r="Q75" s="120">
        <f aca="true" t="shared" si="7" ref="Q75:Q118">IF(O75&lt;&gt;0,SUM(O75)-SUM(L75),SUM(P75)-SUM(L75))</f>
        <v>0</v>
      </c>
      <c r="R75" s="231" t="s">
        <v>9</v>
      </c>
      <c r="S75" s="71" t="s">
        <v>0</v>
      </c>
      <c r="T75">
        <v>57</v>
      </c>
      <c r="U75" s="333">
        <v>0.02839</v>
      </c>
      <c r="V75" s="333">
        <v>0.01775</v>
      </c>
      <c r="W75" s="333">
        <v>0.02834</v>
      </c>
      <c r="X75" s="334">
        <v>0.01249</v>
      </c>
      <c r="Y75" s="335">
        <v>0.04427</v>
      </c>
      <c r="Z75" s="335">
        <v>0.03508</v>
      </c>
      <c r="AA75" s="335">
        <v>0.03579</v>
      </c>
      <c r="AB75" s="336" t="str">
        <f>IF(Participant!$D$13="-","-",IF(I75&lt;&gt;0,I75*(1+HLOOKUP(Participant!$D$13,CF_Analysis!$U$18:$AA$118,CF_Analysis!T75+1,FALSE))^-T75,IF(ISNUMBER(J75),J75*(1+HLOOKUP(Participant!$D$13,CF_Analysis!$U$18:$AA$118,CF_Analysis!T75+1,FALSE))^-T75,"-")))</f>
        <v>-</v>
      </c>
      <c r="AC75">
        <v>57</v>
      </c>
      <c r="AD75" s="333">
        <v>0.02369</v>
      </c>
      <c r="AE75" s="333">
        <v>0.01305</v>
      </c>
      <c r="AF75" s="333">
        <v>0.02364</v>
      </c>
      <c r="AG75" s="333">
        <v>0.00779</v>
      </c>
      <c r="AH75" s="333">
        <v>0.03957</v>
      </c>
      <c r="AI75" s="333">
        <v>0.03038</v>
      </c>
      <c r="AJ75" s="333">
        <v>0.03109</v>
      </c>
      <c r="AK75" s="336" t="str">
        <f>IF(Participant!$D$13="-","-",IF(Q75&lt;&gt;0,Q75*(1+HLOOKUP(Participant!$D$13,$AD$18:$AJ$118,CF_Analysis!AC75+1,FALSE))^-AC75,IF(ISNUMBER(R75),R75*(1+HLOOKUP(Participant!$D$13,$AD$18:$AJ$118,CF_Analysis!AC75+1,FALSE))^-AC75,"-")))</f>
        <v>-</v>
      </c>
      <c r="AL75" s="71" t="s">
        <v>0</v>
      </c>
      <c r="AM75" s="51"/>
    </row>
    <row r="76" spans="3:39" ht="15" customHeight="1">
      <c r="C76" s="275">
        <v>58</v>
      </c>
      <c r="D76" s="282" t="s">
        <v>9</v>
      </c>
      <c r="E76" s="282" t="s">
        <v>9</v>
      </c>
      <c r="F76" s="279" t="s">
        <v>9</v>
      </c>
      <c r="G76" s="120">
        <f t="shared" si="4"/>
        <v>0</v>
      </c>
      <c r="H76" s="278" t="s">
        <v>9</v>
      </c>
      <c r="I76" s="120">
        <f t="shared" si="5"/>
        <v>0</v>
      </c>
      <c r="J76" s="424" t="s">
        <v>9</v>
      </c>
      <c r="K76" s="182"/>
      <c r="L76" s="282" t="s">
        <v>9</v>
      </c>
      <c r="M76" s="418" t="s">
        <v>9</v>
      </c>
      <c r="N76" s="279" t="s">
        <v>9</v>
      </c>
      <c r="O76" s="120">
        <f t="shared" si="6"/>
        <v>0</v>
      </c>
      <c r="P76" s="278" t="s">
        <v>9</v>
      </c>
      <c r="Q76" s="120">
        <f t="shared" si="7"/>
        <v>0</v>
      </c>
      <c r="R76" s="231" t="s">
        <v>9</v>
      </c>
      <c r="S76" s="71" t="s">
        <v>0</v>
      </c>
      <c r="T76">
        <v>58</v>
      </c>
      <c r="U76" s="333">
        <v>0.02862</v>
      </c>
      <c r="V76" s="333">
        <v>0.01799</v>
      </c>
      <c r="W76" s="333">
        <v>0.02857</v>
      </c>
      <c r="X76" s="334">
        <v>0.01283</v>
      </c>
      <c r="Y76" s="335">
        <v>0.04424</v>
      </c>
      <c r="Z76" s="335">
        <v>0.03519</v>
      </c>
      <c r="AA76" s="335">
        <v>0.0359</v>
      </c>
      <c r="AB76" s="336" t="str">
        <f>IF(Participant!$D$13="-","-",IF(I76&lt;&gt;0,I76*(1+HLOOKUP(Participant!$D$13,CF_Analysis!$U$18:$AA$118,CF_Analysis!T76+1,FALSE))^-T76,IF(ISNUMBER(J76),J76*(1+HLOOKUP(Participant!$D$13,CF_Analysis!$U$18:$AA$118,CF_Analysis!T76+1,FALSE))^-T76,"-")))</f>
        <v>-</v>
      </c>
      <c r="AC76">
        <v>58</v>
      </c>
      <c r="AD76" s="333">
        <v>0.02392</v>
      </c>
      <c r="AE76" s="333">
        <v>0.01329</v>
      </c>
      <c r="AF76" s="333">
        <v>0.02387</v>
      </c>
      <c r="AG76" s="333">
        <v>0.00813</v>
      </c>
      <c r="AH76" s="333">
        <v>0.03954</v>
      </c>
      <c r="AI76" s="333">
        <v>0.03049</v>
      </c>
      <c r="AJ76" s="333">
        <v>0.0312</v>
      </c>
      <c r="AK76" s="336" t="str">
        <f>IF(Participant!$D$13="-","-",IF(Q76&lt;&gt;0,Q76*(1+HLOOKUP(Participant!$D$13,$AD$18:$AJ$118,CF_Analysis!AC76+1,FALSE))^-AC76,IF(ISNUMBER(R76),R76*(1+HLOOKUP(Participant!$D$13,$AD$18:$AJ$118,CF_Analysis!AC76+1,FALSE))^-AC76,"-")))</f>
        <v>-</v>
      </c>
      <c r="AL76" s="71" t="s">
        <v>0</v>
      </c>
      <c r="AM76" s="51"/>
    </row>
    <row r="77" spans="3:39" ht="15" customHeight="1">
      <c r="C77" s="274">
        <v>59</v>
      </c>
      <c r="D77" s="282" t="s">
        <v>9</v>
      </c>
      <c r="E77" s="282" t="s">
        <v>9</v>
      </c>
      <c r="F77" s="279" t="s">
        <v>9</v>
      </c>
      <c r="G77" s="120">
        <f t="shared" si="4"/>
        <v>0</v>
      </c>
      <c r="H77" s="278" t="s">
        <v>9</v>
      </c>
      <c r="I77" s="120">
        <f t="shared" si="5"/>
        <v>0</v>
      </c>
      <c r="J77" s="424" t="s">
        <v>9</v>
      </c>
      <c r="K77" s="182"/>
      <c r="L77" s="282" t="s">
        <v>9</v>
      </c>
      <c r="M77" s="418" t="s">
        <v>9</v>
      </c>
      <c r="N77" s="279" t="s">
        <v>9</v>
      </c>
      <c r="O77" s="120">
        <f t="shared" si="6"/>
        <v>0</v>
      </c>
      <c r="P77" s="278" t="s">
        <v>9</v>
      </c>
      <c r="Q77" s="120">
        <f t="shared" si="7"/>
        <v>0</v>
      </c>
      <c r="R77" s="231" t="s">
        <v>9</v>
      </c>
      <c r="S77" s="71" t="s">
        <v>0</v>
      </c>
      <c r="T77">
        <v>59</v>
      </c>
      <c r="U77" s="333">
        <v>0.02884</v>
      </c>
      <c r="V77" s="333">
        <v>0.01822</v>
      </c>
      <c r="W77" s="333">
        <v>0.0288</v>
      </c>
      <c r="X77" s="334">
        <v>0.01319</v>
      </c>
      <c r="Y77" s="335">
        <v>0.0442</v>
      </c>
      <c r="Z77" s="335">
        <v>0.03531</v>
      </c>
      <c r="AA77" s="335">
        <v>0.036</v>
      </c>
      <c r="AB77" s="336" t="str">
        <f>IF(Participant!$D$13="-","-",IF(I77&lt;&gt;0,I77*(1+HLOOKUP(Participant!$D$13,CF_Analysis!$U$18:$AA$118,CF_Analysis!T77+1,FALSE))^-T77,IF(ISNUMBER(J77),J77*(1+HLOOKUP(Participant!$D$13,CF_Analysis!$U$18:$AA$118,CF_Analysis!T77+1,FALSE))^-T77,"-")))</f>
        <v>-</v>
      </c>
      <c r="AC77">
        <v>59</v>
      </c>
      <c r="AD77" s="333">
        <v>0.02414</v>
      </c>
      <c r="AE77" s="333">
        <v>0.01352</v>
      </c>
      <c r="AF77" s="333">
        <v>0.0241</v>
      </c>
      <c r="AG77" s="333">
        <v>0.00849</v>
      </c>
      <c r="AH77" s="333">
        <v>0.0395</v>
      </c>
      <c r="AI77" s="333">
        <v>0.03061</v>
      </c>
      <c r="AJ77" s="333">
        <v>0.0313</v>
      </c>
      <c r="AK77" s="336" t="str">
        <f>IF(Participant!$D$13="-","-",IF(Q77&lt;&gt;0,Q77*(1+HLOOKUP(Participant!$D$13,$AD$18:$AJ$118,CF_Analysis!AC77+1,FALSE))^-AC77,IF(ISNUMBER(R77),R77*(1+HLOOKUP(Participant!$D$13,$AD$18:$AJ$118,CF_Analysis!AC77+1,FALSE))^-AC77,"-")))</f>
        <v>-</v>
      </c>
      <c r="AL77" s="71" t="s">
        <v>0</v>
      </c>
      <c r="AM77" s="51"/>
    </row>
    <row r="78" spans="3:39" ht="15" customHeight="1">
      <c r="C78" s="275">
        <v>60</v>
      </c>
      <c r="D78" s="282" t="s">
        <v>9</v>
      </c>
      <c r="E78" s="282" t="s">
        <v>9</v>
      </c>
      <c r="F78" s="279" t="s">
        <v>9</v>
      </c>
      <c r="G78" s="120">
        <f t="shared" si="4"/>
        <v>0</v>
      </c>
      <c r="H78" s="278" t="s">
        <v>9</v>
      </c>
      <c r="I78" s="120">
        <f t="shared" si="5"/>
        <v>0</v>
      </c>
      <c r="J78" s="424" t="s">
        <v>9</v>
      </c>
      <c r="K78" s="182"/>
      <c r="L78" s="282" t="s">
        <v>9</v>
      </c>
      <c r="M78" s="418" t="s">
        <v>9</v>
      </c>
      <c r="N78" s="279" t="s">
        <v>9</v>
      </c>
      <c r="O78" s="120">
        <f t="shared" si="6"/>
        <v>0</v>
      </c>
      <c r="P78" s="278" t="s">
        <v>9</v>
      </c>
      <c r="Q78" s="120">
        <f t="shared" si="7"/>
        <v>0</v>
      </c>
      <c r="R78" s="231" t="s">
        <v>9</v>
      </c>
      <c r="S78" s="71" t="s">
        <v>0</v>
      </c>
      <c r="T78">
        <v>60</v>
      </c>
      <c r="U78" s="333">
        <v>0.02906</v>
      </c>
      <c r="V78" s="333">
        <v>0.01845</v>
      </c>
      <c r="W78" s="333">
        <v>0.02901</v>
      </c>
      <c r="X78" s="334">
        <v>0.01355</v>
      </c>
      <c r="Y78" s="335">
        <v>0.04416</v>
      </c>
      <c r="Z78" s="335">
        <v>0.03542</v>
      </c>
      <c r="AA78" s="335">
        <v>0.0361</v>
      </c>
      <c r="AB78" s="336" t="str">
        <f>IF(Participant!$D$13="-","-",IF(I78&lt;&gt;0,I78*(1+HLOOKUP(Participant!$D$13,CF_Analysis!$U$18:$AA$118,CF_Analysis!T78+1,FALSE))^-T78,IF(ISNUMBER(J78),J78*(1+HLOOKUP(Participant!$D$13,CF_Analysis!$U$18:$AA$118,CF_Analysis!T78+1,FALSE))^-T78,"-")))</f>
        <v>-</v>
      </c>
      <c r="AC78">
        <v>60</v>
      </c>
      <c r="AD78" s="333">
        <v>0.02436</v>
      </c>
      <c r="AE78" s="333">
        <v>0.01375</v>
      </c>
      <c r="AF78" s="333">
        <v>0.02431</v>
      </c>
      <c r="AG78" s="333">
        <v>0.00885</v>
      </c>
      <c r="AH78" s="333">
        <v>0.03946</v>
      </c>
      <c r="AI78" s="333">
        <v>0.03072</v>
      </c>
      <c r="AJ78" s="333">
        <v>0.0314</v>
      </c>
      <c r="AK78" s="336" t="str">
        <f>IF(Participant!$D$13="-","-",IF(Q78&lt;&gt;0,Q78*(1+HLOOKUP(Participant!$D$13,$AD$18:$AJ$118,CF_Analysis!AC78+1,FALSE))^-AC78,IF(ISNUMBER(R78),R78*(1+HLOOKUP(Participant!$D$13,$AD$18:$AJ$118,CF_Analysis!AC78+1,FALSE))^-AC78,"-")))</f>
        <v>-</v>
      </c>
      <c r="AL78" s="71" t="s">
        <v>0</v>
      </c>
      <c r="AM78" s="51"/>
    </row>
    <row r="79" spans="3:39" ht="15" customHeight="1">
      <c r="C79" s="274">
        <v>61</v>
      </c>
      <c r="D79" s="282" t="s">
        <v>9</v>
      </c>
      <c r="E79" s="282" t="s">
        <v>9</v>
      </c>
      <c r="F79" s="279" t="s">
        <v>9</v>
      </c>
      <c r="G79" s="120">
        <f t="shared" si="4"/>
        <v>0</v>
      </c>
      <c r="H79" s="278" t="s">
        <v>9</v>
      </c>
      <c r="I79" s="120">
        <f t="shared" si="5"/>
        <v>0</v>
      </c>
      <c r="J79" s="278" t="s">
        <v>9</v>
      </c>
      <c r="K79" s="182"/>
      <c r="L79" s="282" t="s">
        <v>9</v>
      </c>
      <c r="M79" s="282" t="s">
        <v>9</v>
      </c>
      <c r="N79" s="279" t="s">
        <v>9</v>
      </c>
      <c r="O79" s="120">
        <f t="shared" si="6"/>
        <v>0</v>
      </c>
      <c r="P79" s="278" t="s">
        <v>9</v>
      </c>
      <c r="Q79" s="120">
        <f t="shared" si="7"/>
        <v>0</v>
      </c>
      <c r="R79" s="231" t="s">
        <v>9</v>
      </c>
      <c r="S79" s="71" t="s">
        <v>0</v>
      </c>
      <c r="T79">
        <v>61</v>
      </c>
      <c r="U79" s="333">
        <v>0.02927</v>
      </c>
      <c r="V79" s="333">
        <v>0.01866</v>
      </c>
      <c r="W79" s="333">
        <v>0.02922</v>
      </c>
      <c r="X79" s="334">
        <v>0.01391</v>
      </c>
      <c r="Y79" s="335">
        <v>0.04413</v>
      </c>
      <c r="Z79" s="335">
        <v>0.03552</v>
      </c>
      <c r="AA79" s="335">
        <v>0.0362</v>
      </c>
      <c r="AB79" s="336" t="str">
        <f>IF(Participant!$D$13="-","-",IF(I79&lt;&gt;0,I79*(1+HLOOKUP(Participant!$D$13,CF_Analysis!$U$18:$AA$118,CF_Analysis!T79+1,FALSE))^-T79,IF(ISNUMBER(J79),J79*(1+HLOOKUP(Participant!$D$13,CF_Analysis!$U$18:$AA$118,CF_Analysis!T79+1,FALSE))^-T79,"-")))</f>
        <v>-</v>
      </c>
      <c r="AC79">
        <v>61</v>
      </c>
      <c r="AD79" s="333">
        <v>0.02457</v>
      </c>
      <c r="AE79" s="333">
        <v>0.01396</v>
      </c>
      <c r="AF79" s="333">
        <v>0.02452</v>
      </c>
      <c r="AG79" s="333">
        <v>0.00921</v>
      </c>
      <c r="AH79" s="333">
        <v>0.03943</v>
      </c>
      <c r="AI79" s="333">
        <v>0.03082</v>
      </c>
      <c r="AJ79" s="333">
        <v>0.0315</v>
      </c>
      <c r="AK79" s="336" t="str">
        <f>IF(Participant!$D$13="-","-",IF(Q79&lt;&gt;0,Q79*(1+HLOOKUP(Participant!$D$13,$AD$18:$AJ$118,CF_Analysis!AC79+1,FALSE))^-AC79,IF(ISNUMBER(R79),R79*(1+HLOOKUP(Participant!$D$13,$AD$18:$AJ$118,CF_Analysis!AC79+1,FALSE))^-AC79,"-")))</f>
        <v>-</v>
      </c>
      <c r="AL79" s="71" t="s">
        <v>0</v>
      </c>
      <c r="AM79" s="51"/>
    </row>
    <row r="80" spans="3:39" ht="15" customHeight="1">
      <c r="C80" s="275">
        <v>62</v>
      </c>
      <c r="D80" s="282" t="s">
        <v>9</v>
      </c>
      <c r="E80" s="282" t="s">
        <v>9</v>
      </c>
      <c r="F80" s="279" t="s">
        <v>9</v>
      </c>
      <c r="G80" s="120">
        <f t="shared" si="4"/>
        <v>0</v>
      </c>
      <c r="H80" s="278" t="s">
        <v>9</v>
      </c>
      <c r="I80" s="120">
        <f t="shared" si="5"/>
        <v>0</v>
      </c>
      <c r="J80" s="278" t="s">
        <v>9</v>
      </c>
      <c r="K80" s="182"/>
      <c r="L80" s="282" t="s">
        <v>9</v>
      </c>
      <c r="M80" s="282" t="s">
        <v>9</v>
      </c>
      <c r="N80" s="279" t="s">
        <v>9</v>
      </c>
      <c r="O80" s="120">
        <f t="shared" si="6"/>
        <v>0</v>
      </c>
      <c r="P80" s="278" t="s">
        <v>9</v>
      </c>
      <c r="Q80" s="120">
        <f t="shared" si="7"/>
        <v>0</v>
      </c>
      <c r="R80" s="231" t="s">
        <v>9</v>
      </c>
      <c r="S80" s="71" t="s">
        <v>0</v>
      </c>
      <c r="T80">
        <v>62</v>
      </c>
      <c r="U80" s="333">
        <v>0.02947</v>
      </c>
      <c r="V80" s="333">
        <v>0.01888</v>
      </c>
      <c r="W80" s="333">
        <v>0.02943</v>
      </c>
      <c r="X80" s="334">
        <v>0.01428</v>
      </c>
      <c r="Y80" s="335">
        <v>0.0441</v>
      </c>
      <c r="Z80" s="335">
        <v>0.03562</v>
      </c>
      <c r="AA80" s="335">
        <v>0.03629</v>
      </c>
      <c r="AB80" s="336" t="str">
        <f>IF(Participant!$D$13="-","-",IF(I80&lt;&gt;0,I80*(1+HLOOKUP(Participant!$D$13,CF_Analysis!$U$18:$AA$118,CF_Analysis!T80+1,FALSE))^-T80,IF(ISNUMBER(J80),J80*(1+HLOOKUP(Participant!$D$13,CF_Analysis!$U$18:$AA$118,CF_Analysis!T80+1,FALSE))^-T80,"-")))</f>
        <v>-</v>
      </c>
      <c r="AC80">
        <v>62</v>
      </c>
      <c r="AD80" s="333">
        <v>0.02477</v>
      </c>
      <c r="AE80" s="333">
        <v>0.01418</v>
      </c>
      <c r="AF80" s="333">
        <v>0.02473</v>
      </c>
      <c r="AG80" s="333">
        <v>0.00958</v>
      </c>
      <c r="AH80" s="333">
        <v>0.0394</v>
      </c>
      <c r="AI80" s="333">
        <v>0.03092</v>
      </c>
      <c r="AJ80" s="333">
        <v>0.03159</v>
      </c>
      <c r="AK80" s="336" t="str">
        <f>IF(Participant!$D$13="-","-",IF(Q80&lt;&gt;0,Q80*(1+HLOOKUP(Participant!$D$13,$AD$18:$AJ$118,CF_Analysis!AC80+1,FALSE))^-AC80,IF(ISNUMBER(R80),R80*(1+HLOOKUP(Participant!$D$13,$AD$18:$AJ$118,CF_Analysis!AC80+1,FALSE))^-AC80,"-")))</f>
        <v>-</v>
      </c>
      <c r="AL80" s="71" t="s">
        <v>0</v>
      </c>
      <c r="AM80" s="51"/>
    </row>
    <row r="81" spans="3:39" ht="15" customHeight="1">
      <c r="C81" s="274">
        <v>63</v>
      </c>
      <c r="D81" s="282" t="s">
        <v>9</v>
      </c>
      <c r="E81" s="282" t="s">
        <v>9</v>
      </c>
      <c r="F81" s="279" t="s">
        <v>9</v>
      </c>
      <c r="G81" s="120">
        <f t="shared" si="4"/>
        <v>0</v>
      </c>
      <c r="H81" s="278" t="s">
        <v>9</v>
      </c>
      <c r="I81" s="120">
        <f t="shared" si="5"/>
        <v>0</v>
      </c>
      <c r="J81" s="278" t="s">
        <v>9</v>
      </c>
      <c r="K81" s="182"/>
      <c r="L81" s="282" t="s">
        <v>9</v>
      </c>
      <c r="M81" s="282" t="s">
        <v>9</v>
      </c>
      <c r="N81" s="279" t="s">
        <v>9</v>
      </c>
      <c r="O81" s="120">
        <f t="shared" si="6"/>
        <v>0</v>
      </c>
      <c r="P81" s="278" t="s">
        <v>9</v>
      </c>
      <c r="Q81" s="120">
        <f t="shared" si="7"/>
        <v>0</v>
      </c>
      <c r="R81" s="231" t="s">
        <v>9</v>
      </c>
      <c r="S81" s="71" t="s">
        <v>0</v>
      </c>
      <c r="T81">
        <v>63</v>
      </c>
      <c r="U81" s="333">
        <v>0.02966</v>
      </c>
      <c r="V81" s="333">
        <v>0.01908</v>
      </c>
      <c r="W81" s="333">
        <v>0.02962</v>
      </c>
      <c r="X81" s="334">
        <v>0.01464</v>
      </c>
      <c r="Y81" s="335">
        <v>0.04407</v>
      </c>
      <c r="Z81" s="335">
        <v>0.03572</v>
      </c>
      <c r="AA81" s="335">
        <v>0.03638</v>
      </c>
      <c r="AB81" s="336" t="str">
        <f>IF(Participant!$D$13="-","-",IF(I81&lt;&gt;0,I81*(1+HLOOKUP(Participant!$D$13,CF_Analysis!$U$18:$AA$118,CF_Analysis!T81+1,FALSE))^-T81,IF(ISNUMBER(J81),J81*(1+HLOOKUP(Participant!$D$13,CF_Analysis!$U$18:$AA$118,CF_Analysis!T81+1,FALSE))^-T81,"-")))</f>
        <v>-</v>
      </c>
      <c r="AC81">
        <v>63</v>
      </c>
      <c r="AD81" s="333">
        <v>0.02496</v>
      </c>
      <c r="AE81" s="333">
        <v>0.01438</v>
      </c>
      <c r="AF81" s="333">
        <v>0.02492</v>
      </c>
      <c r="AG81" s="333">
        <v>0.00994</v>
      </c>
      <c r="AH81" s="333">
        <v>0.03937</v>
      </c>
      <c r="AI81" s="333">
        <v>0.03102</v>
      </c>
      <c r="AJ81" s="333">
        <v>0.03168</v>
      </c>
      <c r="AK81" s="336" t="str">
        <f>IF(Participant!$D$13="-","-",IF(Q81&lt;&gt;0,Q81*(1+HLOOKUP(Participant!$D$13,$AD$18:$AJ$118,CF_Analysis!AC81+1,FALSE))^-AC81,IF(ISNUMBER(R81),R81*(1+HLOOKUP(Participant!$D$13,$AD$18:$AJ$118,CF_Analysis!AC81+1,FALSE))^-AC81,"-")))</f>
        <v>-</v>
      </c>
      <c r="AL81" s="71" t="s">
        <v>0</v>
      </c>
      <c r="AM81" s="51"/>
    </row>
    <row r="82" spans="3:39" ht="15" customHeight="1">
      <c r="C82" s="275">
        <v>64</v>
      </c>
      <c r="D82" s="282" t="s">
        <v>9</v>
      </c>
      <c r="E82" s="282" t="s">
        <v>9</v>
      </c>
      <c r="F82" s="279" t="s">
        <v>9</v>
      </c>
      <c r="G82" s="120">
        <f t="shared" si="4"/>
        <v>0</v>
      </c>
      <c r="H82" s="278" t="s">
        <v>9</v>
      </c>
      <c r="I82" s="120">
        <f t="shared" si="5"/>
        <v>0</v>
      </c>
      <c r="J82" s="278" t="s">
        <v>9</v>
      </c>
      <c r="K82" s="182"/>
      <c r="L82" s="282" t="s">
        <v>9</v>
      </c>
      <c r="M82" s="282" t="s">
        <v>9</v>
      </c>
      <c r="N82" s="279" t="s">
        <v>9</v>
      </c>
      <c r="O82" s="120">
        <f t="shared" si="6"/>
        <v>0</v>
      </c>
      <c r="P82" s="278" t="s">
        <v>9</v>
      </c>
      <c r="Q82" s="120">
        <f t="shared" si="7"/>
        <v>0</v>
      </c>
      <c r="R82" s="231" t="s">
        <v>9</v>
      </c>
      <c r="S82" s="71" t="s">
        <v>0</v>
      </c>
      <c r="T82">
        <v>64</v>
      </c>
      <c r="U82" s="333">
        <v>0.02986</v>
      </c>
      <c r="V82" s="333">
        <v>0.01928</v>
      </c>
      <c r="W82" s="333">
        <v>0.02982</v>
      </c>
      <c r="X82" s="334">
        <v>0.015</v>
      </c>
      <c r="Y82" s="335">
        <v>0.04403</v>
      </c>
      <c r="Z82" s="335">
        <v>0.03582</v>
      </c>
      <c r="AA82" s="335">
        <v>0.03647</v>
      </c>
      <c r="AB82" s="336" t="str">
        <f>IF(Participant!$D$13="-","-",IF(I82&lt;&gt;0,I82*(1+HLOOKUP(Participant!$D$13,CF_Analysis!$U$18:$AA$118,CF_Analysis!T82+1,FALSE))^-T82,IF(ISNUMBER(J82),J82*(1+HLOOKUP(Participant!$D$13,CF_Analysis!$U$18:$AA$118,CF_Analysis!T82+1,FALSE))^-T82,"-")))</f>
        <v>-</v>
      </c>
      <c r="AC82">
        <v>64</v>
      </c>
      <c r="AD82" s="333">
        <v>0.02516</v>
      </c>
      <c r="AE82" s="333">
        <v>0.01458</v>
      </c>
      <c r="AF82" s="333">
        <v>0.02512</v>
      </c>
      <c r="AG82" s="333">
        <v>0.0103</v>
      </c>
      <c r="AH82" s="333">
        <v>0.03933</v>
      </c>
      <c r="AI82" s="333">
        <v>0.03112</v>
      </c>
      <c r="AJ82" s="333">
        <v>0.03177</v>
      </c>
      <c r="AK82" s="336" t="str">
        <f>IF(Participant!$D$13="-","-",IF(Q82&lt;&gt;0,Q82*(1+HLOOKUP(Participant!$D$13,$AD$18:$AJ$118,CF_Analysis!AC82+1,FALSE))^-AC82,IF(ISNUMBER(R82),R82*(1+HLOOKUP(Participant!$D$13,$AD$18:$AJ$118,CF_Analysis!AC82+1,FALSE))^-AC82,"-")))</f>
        <v>-</v>
      </c>
      <c r="AL82" s="71" t="s">
        <v>0</v>
      </c>
      <c r="AM82" s="51"/>
    </row>
    <row r="83" spans="3:39" ht="15" customHeight="1">
      <c r="C83" s="274">
        <v>65</v>
      </c>
      <c r="D83" s="282" t="s">
        <v>9</v>
      </c>
      <c r="E83" s="282" t="s">
        <v>9</v>
      </c>
      <c r="F83" s="279" t="s">
        <v>9</v>
      </c>
      <c r="G83" s="120">
        <f t="shared" si="4"/>
        <v>0</v>
      </c>
      <c r="H83" s="278" t="s">
        <v>9</v>
      </c>
      <c r="I83" s="120">
        <f t="shared" si="5"/>
        <v>0</v>
      </c>
      <c r="J83" s="278" t="s">
        <v>9</v>
      </c>
      <c r="K83" s="182"/>
      <c r="L83" s="282" t="s">
        <v>9</v>
      </c>
      <c r="M83" s="282" t="s">
        <v>9</v>
      </c>
      <c r="N83" s="279" t="s">
        <v>9</v>
      </c>
      <c r="O83" s="120">
        <f t="shared" si="6"/>
        <v>0</v>
      </c>
      <c r="P83" s="278" t="s">
        <v>9</v>
      </c>
      <c r="Q83" s="120">
        <f t="shared" si="7"/>
        <v>0</v>
      </c>
      <c r="R83" s="231" t="s">
        <v>9</v>
      </c>
      <c r="S83" s="71" t="s">
        <v>0</v>
      </c>
      <c r="T83">
        <v>65</v>
      </c>
      <c r="U83" s="333">
        <v>0.03004</v>
      </c>
      <c r="V83" s="333">
        <v>0.01947</v>
      </c>
      <c r="W83" s="333">
        <v>0.03</v>
      </c>
      <c r="X83" s="334">
        <v>0.01536</v>
      </c>
      <c r="Y83" s="335">
        <v>0.044</v>
      </c>
      <c r="Z83" s="335">
        <v>0.03591</v>
      </c>
      <c r="AA83" s="335">
        <v>0.03655</v>
      </c>
      <c r="AB83" s="336" t="str">
        <f>IF(Participant!$D$13="-","-",IF(I83&lt;&gt;0,I83*(1+HLOOKUP(Participant!$D$13,CF_Analysis!$U$18:$AA$118,CF_Analysis!T83+1,FALSE))^-T83,IF(ISNUMBER(J83),J83*(1+HLOOKUP(Participant!$D$13,CF_Analysis!$U$18:$AA$118,CF_Analysis!T83+1,FALSE))^-T83,"-")))</f>
        <v>-</v>
      </c>
      <c r="AC83">
        <v>65</v>
      </c>
      <c r="AD83" s="333">
        <v>0.02534</v>
      </c>
      <c r="AE83" s="333">
        <v>0.01477</v>
      </c>
      <c r="AF83" s="333">
        <v>0.0253</v>
      </c>
      <c r="AG83" s="333">
        <v>0.01066</v>
      </c>
      <c r="AH83" s="333">
        <v>0.0393</v>
      </c>
      <c r="AI83" s="333">
        <v>0.03121</v>
      </c>
      <c r="AJ83" s="333">
        <v>0.03185</v>
      </c>
      <c r="AK83" s="336" t="str">
        <f>IF(Participant!$D$13="-","-",IF(Q83&lt;&gt;0,Q83*(1+HLOOKUP(Participant!$D$13,$AD$18:$AJ$118,CF_Analysis!AC83+1,FALSE))^-AC83,IF(ISNUMBER(R83),R83*(1+HLOOKUP(Participant!$D$13,$AD$18:$AJ$118,CF_Analysis!AC83+1,FALSE))^-AC83,"-")))</f>
        <v>-</v>
      </c>
      <c r="AL83" s="71" t="s">
        <v>0</v>
      </c>
      <c r="AM83" s="51"/>
    </row>
    <row r="84" spans="3:39" ht="15" customHeight="1">
      <c r="C84" s="275">
        <v>66</v>
      </c>
      <c r="D84" s="282" t="s">
        <v>9</v>
      </c>
      <c r="E84" s="282" t="s">
        <v>9</v>
      </c>
      <c r="F84" s="279" t="s">
        <v>9</v>
      </c>
      <c r="G84" s="120">
        <f t="shared" si="4"/>
        <v>0</v>
      </c>
      <c r="H84" s="278" t="s">
        <v>9</v>
      </c>
      <c r="I84" s="120">
        <f t="shared" si="5"/>
        <v>0</v>
      </c>
      <c r="J84" s="278" t="s">
        <v>9</v>
      </c>
      <c r="K84" s="182"/>
      <c r="L84" s="282" t="s">
        <v>9</v>
      </c>
      <c r="M84" s="282" t="s">
        <v>9</v>
      </c>
      <c r="N84" s="279" t="s">
        <v>9</v>
      </c>
      <c r="O84" s="120">
        <f t="shared" si="6"/>
        <v>0</v>
      </c>
      <c r="P84" s="278" t="s">
        <v>9</v>
      </c>
      <c r="Q84" s="120">
        <f t="shared" si="7"/>
        <v>0</v>
      </c>
      <c r="R84" s="231" t="s">
        <v>9</v>
      </c>
      <c r="S84" s="71" t="s">
        <v>0</v>
      </c>
      <c r="T84">
        <v>66</v>
      </c>
      <c r="U84" s="333">
        <v>0.03022</v>
      </c>
      <c r="V84" s="333">
        <v>0.01966</v>
      </c>
      <c r="W84" s="333">
        <v>0.03018</v>
      </c>
      <c r="X84" s="334">
        <v>0.01572</v>
      </c>
      <c r="Y84" s="335">
        <v>0.04397</v>
      </c>
      <c r="Z84" s="335">
        <v>0.03601</v>
      </c>
      <c r="AA84" s="335">
        <v>0.03664</v>
      </c>
      <c r="AB84" s="336" t="str">
        <f>IF(Participant!$D$13="-","-",IF(I84&lt;&gt;0,I84*(1+HLOOKUP(Participant!$D$13,CF_Analysis!$U$18:$AA$118,CF_Analysis!T84+1,FALSE))^-T84,IF(ISNUMBER(J84),J84*(1+HLOOKUP(Participant!$D$13,CF_Analysis!$U$18:$AA$118,CF_Analysis!T84+1,FALSE))^-T84,"-")))</f>
        <v>-</v>
      </c>
      <c r="AC84">
        <v>66</v>
      </c>
      <c r="AD84" s="333">
        <v>0.02552</v>
      </c>
      <c r="AE84" s="333">
        <v>0.01496</v>
      </c>
      <c r="AF84" s="333">
        <v>0.02548</v>
      </c>
      <c r="AG84" s="333">
        <v>0.01102</v>
      </c>
      <c r="AH84" s="333">
        <v>0.03927</v>
      </c>
      <c r="AI84" s="333">
        <v>0.03131</v>
      </c>
      <c r="AJ84" s="333">
        <v>0.03194</v>
      </c>
      <c r="AK84" s="336" t="str">
        <f>IF(Participant!$D$13="-","-",IF(Q84&lt;&gt;0,Q84*(1+HLOOKUP(Participant!$D$13,$AD$18:$AJ$118,CF_Analysis!AC84+1,FALSE))^-AC84,IF(ISNUMBER(R84),R84*(1+HLOOKUP(Participant!$D$13,$AD$18:$AJ$118,CF_Analysis!AC84+1,FALSE))^-AC84,"-")))</f>
        <v>-</v>
      </c>
      <c r="AL84" s="71" t="s">
        <v>0</v>
      </c>
      <c r="AM84" s="51"/>
    </row>
    <row r="85" spans="3:39" ht="15" customHeight="1">
      <c r="C85" s="274">
        <v>67</v>
      </c>
      <c r="D85" s="282" t="s">
        <v>9</v>
      </c>
      <c r="E85" s="282" t="s">
        <v>9</v>
      </c>
      <c r="F85" s="279" t="s">
        <v>9</v>
      </c>
      <c r="G85" s="120">
        <f t="shared" si="4"/>
        <v>0</v>
      </c>
      <c r="H85" s="278" t="s">
        <v>9</v>
      </c>
      <c r="I85" s="120">
        <f t="shared" si="5"/>
        <v>0</v>
      </c>
      <c r="J85" s="278" t="s">
        <v>9</v>
      </c>
      <c r="K85" s="182"/>
      <c r="L85" s="282" t="s">
        <v>9</v>
      </c>
      <c r="M85" s="282" t="s">
        <v>9</v>
      </c>
      <c r="N85" s="279" t="s">
        <v>9</v>
      </c>
      <c r="O85" s="120">
        <f t="shared" si="6"/>
        <v>0</v>
      </c>
      <c r="P85" s="278" t="s">
        <v>9</v>
      </c>
      <c r="Q85" s="120">
        <f t="shared" si="7"/>
        <v>0</v>
      </c>
      <c r="R85" s="231" t="s">
        <v>9</v>
      </c>
      <c r="S85" s="71" t="s">
        <v>0</v>
      </c>
      <c r="T85">
        <v>67</v>
      </c>
      <c r="U85" s="333">
        <v>0.03039</v>
      </c>
      <c r="V85" s="333">
        <v>0.01984</v>
      </c>
      <c r="W85" s="333">
        <v>0.03036</v>
      </c>
      <c r="X85" s="334">
        <v>0.01607</v>
      </c>
      <c r="Y85" s="335">
        <v>0.04395</v>
      </c>
      <c r="Z85" s="335">
        <v>0.03609</v>
      </c>
      <c r="AA85" s="335">
        <v>0.03672</v>
      </c>
      <c r="AB85" s="336" t="str">
        <f>IF(Participant!$D$13="-","-",IF(I85&lt;&gt;0,I85*(1+HLOOKUP(Participant!$D$13,CF_Analysis!$U$18:$AA$118,CF_Analysis!T85+1,FALSE))^-T85,IF(ISNUMBER(J85),J85*(1+HLOOKUP(Participant!$D$13,CF_Analysis!$U$18:$AA$118,CF_Analysis!T85+1,FALSE))^-T85,"-")))</f>
        <v>-</v>
      </c>
      <c r="AC85">
        <v>67</v>
      </c>
      <c r="AD85" s="333">
        <v>0.02569</v>
      </c>
      <c r="AE85" s="333">
        <v>0.01514</v>
      </c>
      <c r="AF85" s="333">
        <v>0.02566</v>
      </c>
      <c r="AG85" s="333">
        <v>0.01137</v>
      </c>
      <c r="AH85" s="333">
        <v>0.03925</v>
      </c>
      <c r="AI85" s="333">
        <v>0.03139</v>
      </c>
      <c r="AJ85" s="333">
        <v>0.03202</v>
      </c>
      <c r="AK85" s="336" t="str">
        <f>IF(Participant!$D$13="-","-",IF(Q85&lt;&gt;0,Q85*(1+HLOOKUP(Participant!$D$13,$AD$18:$AJ$118,CF_Analysis!AC85+1,FALSE))^-AC85,IF(ISNUMBER(R85),R85*(1+HLOOKUP(Participant!$D$13,$AD$18:$AJ$118,CF_Analysis!AC85+1,FALSE))^-AC85,"-")))</f>
        <v>-</v>
      </c>
      <c r="AL85" s="71" t="s">
        <v>0</v>
      </c>
      <c r="AM85" s="51"/>
    </row>
    <row r="86" spans="3:39" ht="15" customHeight="1">
      <c r="C86" s="275">
        <v>68</v>
      </c>
      <c r="D86" s="282" t="s">
        <v>9</v>
      </c>
      <c r="E86" s="282" t="s">
        <v>9</v>
      </c>
      <c r="F86" s="279" t="s">
        <v>9</v>
      </c>
      <c r="G86" s="120">
        <f t="shared" si="4"/>
        <v>0</v>
      </c>
      <c r="H86" s="278" t="s">
        <v>9</v>
      </c>
      <c r="I86" s="120">
        <f t="shared" si="5"/>
        <v>0</v>
      </c>
      <c r="J86" s="278" t="s">
        <v>9</v>
      </c>
      <c r="K86" s="182"/>
      <c r="L86" s="282" t="s">
        <v>9</v>
      </c>
      <c r="M86" s="282" t="s">
        <v>9</v>
      </c>
      <c r="N86" s="279" t="s">
        <v>9</v>
      </c>
      <c r="O86" s="120">
        <f t="shared" si="6"/>
        <v>0</v>
      </c>
      <c r="P86" s="278" t="s">
        <v>9</v>
      </c>
      <c r="Q86" s="120">
        <f t="shared" si="7"/>
        <v>0</v>
      </c>
      <c r="R86" s="231" t="s">
        <v>9</v>
      </c>
      <c r="S86" s="71" t="s">
        <v>0</v>
      </c>
      <c r="T86">
        <v>68</v>
      </c>
      <c r="U86" s="333">
        <v>0.03056</v>
      </c>
      <c r="V86" s="333">
        <v>0.02002</v>
      </c>
      <c r="W86" s="333">
        <v>0.03053</v>
      </c>
      <c r="X86" s="334">
        <v>0.01641</v>
      </c>
      <c r="Y86" s="335">
        <v>0.04392</v>
      </c>
      <c r="Z86" s="335">
        <v>0.03618</v>
      </c>
      <c r="AA86" s="335">
        <v>0.03679</v>
      </c>
      <c r="AB86" s="336" t="str">
        <f>IF(Participant!$D$13="-","-",IF(I86&lt;&gt;0,I86*(1+HLOOKUP(Participant!$D$13,CF_Analysis!$U$18:$AA$118,CF_Analysis!T86+1,FALSE))^-T86,IF(ISNUMBER(J86),J86*(1+HLOOKUP(Participant!$D$13,CF_Analysis!$U$18:$AA$118,CF_Analysis!T86+1,FALSE))^-T86,"-")))</f>
        <v>-</v>
      </c>
      <c r="AC86">
        <v>68</v>
      </c>
      <c r="AD86" s="333">
        <v>0.02586</v>
      </c>
      <c r="AE86" s="333">
        <v>0.01532</v>
      </c>
      <c r="AF86" s="333">
        <v>0.02583</v>
      </c>
      <c r="AG86" s="333">
        <v>0.01171</v>
      </c>
      <c r="AH86" s="333">
        <v>0.03922</v>
      </c>
      <c r="AI86" s="333">
        <v>0.03148</v>
      </c>
      <c r="AJ86" s="333">
        <v>0.03209</v>
      </c>
      <c r="AK86" s="336" t="str">
        <f>IF(Participant!$D$13="-","-",IF(Q86&lt;&gt;0,Q86*(1+HLOOKUP(Participant!$D$13,$AD$18:$AJ$118,CF_Analysis!AC86+1,FALSE))^-AC86,IF(ISNUMBER(R86),R86*(1+HLOOKUP(Participant!$D$13,$AD$18:$AJ$118,CF_Analysis!AC86+1,FALSE))^-AC86,"-")))</f>
        <v>-</v>
      </c>
      <c r="AL86" s="71" t="s">
        <v>0</v>
      </c>
      <c r="AM86" s="51"/>
    </row>
    <row r="87" spans="3:39" ht="15" customHeight="1">
      <c r="C87" s="274">
        <v>69</v>
      </c>
      <c r="D87" s="282" t="s">
        <v>9</v>
      </c>
      <c r="E87" s="282" t="s">
        <v>9</v>
      </c>
      <c r="F87" s="279" t="s">
        <v>9</v>
      </c>
      <c r="G87" s="120">
        <f t="shared" si="4"/>
        <v>0</v>
      </c>
      <c r="H87" s="278" t="s">
        <v>9</v>
      </c>
      <c r="I87" s="120">
        <f t="shared" si="5"/>
        <v>0</v>
      </c>
      <c r="J87" s="278" t="s">
        <v>9</v>
      </c>
      <c r="K87" s="182"/>
      <c r="L87" s="282" t="s">
        <v>9</v>
      </c>
      <c r="M87" s="282" t="s">
        <v>9</v>
      </c>
      <c r="N87" s="279" t="s">
        <v>9</v>
      </c>
      <c r="O87" s="120">
        <f t="shared" si="6"/>
        <v>0</v>
      </c>
      <c r="P87" s="278" t="s">
        <v>9</v>
      </c>
      <c r="Q87" s="120">
        <f t="shared" si="7"/>
        <v>0</v>
      </c>
      <c r="R87" s="231" t="s">
        <v>9</v>
      </c>
      <c r="S87" s="71" t="s">
        <v>0</v>
      </c>
      <c r="T87">
        <v>69</v>
      </c>
      <c r="U87" s="333">
        <v>0.03073</v>
      </c>
      <c r="V87" s="333">
        <v>0.02019</v>
      </c>
      <c r="W87" s="333">
        <v>0.03069</v>
      </c>
      <c r="X87" s="334">
        <v>0.01675</v>
      </c>
      <c r="Y87" s="335">
        <v>0.04389</v>
      </c>
      <c r="Z87" s="335">
        <v>0.03626</v>
      </c>
      <c r="AA87" s="335">
        <v>0.03687</v>
      </c>
      <c r="AB87" s="336" t="str">
        <f>IF(Participant!$D$13="-","-",IF(I87&lt;&gt;0,I87*(1+HLOOKUP(Participant!$D$13,CF_Analysis!$U$18:$AA$118,CF_Analysis!T87+1,FALSE))^-T87,IF(ISNUMBER(J87),J87*(1+HLOOKUP(Participant!$D$13,CF_Analysis!$U$18:$AA$118,CF_Analysis!T87+1,FALSE))^-T87,"-")))</f>
        <v>-</v>
      </c>
      <c r="AC87">
        <v>69</v>
      </c>
      <c r="AD87" s="333">
        <v>0.02603</v>
      </c>
      <c r="AE87" s="333">
        <v>0.01549</v>
      </c>
      <c r="AF87" s="333">
        <v>0.02599</v>
      </c>
      <c r="AG87" s="333">
        <v>0.01205</v>
      </c>
      <c r="AH87" s="333">
        <v>0.03919</v>
      </c>
      <c r="AI87" s="333">
        <v>0.03156</v>
      </c>
      <c r="AJ87" s="333">
        <v>0.03217</v>
      </c>
      <c r="AK87" s="336" t="str">
        <f>IF(Participant!$D$13="-","-",IF(Q87&lt;&gt;0,Q87*(1+HLOOKUP(Participant!$D$13,$AD$18:$AJ$118,CF_Analysis!AC87+1,FALSE))^-AC87,IF(ISNUMBER(R87),R87*(1+HLOOKUP(Participant!$D$13,$AD$18:$AJ$118,CF_Analysis!AC87+1,FALSE))^-AC87,"-")))</f>
        <v>-</v>
      </c>
      <c r="AL87" s="71" t="s">
        <v>0</v>
      </c>
      <c r="AM87" s="51"/>
    </row>
    <row r="88" spans="3:39" ht="15" customHeight="1">
      <c r="C88" s="275">
        <v>70</v>
      </c>
      <c r="D88" s="282" t="s">
        <v>9</v>
      </c>
      <c r="E88" s="282" t="s">
        <v>9</v>
      </c>
      <c r="F88" s="279" t="s">
        <v>9</v>
      </c>
      <c r="G88" s="120">
        <f t="shared" si="4"/>
        <v>0</v>
      </c>
      <c r="H88" s="278" t="s">
        <v>9</v>
      </c>
      <c r="I88" s="120">
        <f t="shared" si="5"/>
        <v>0</v>
      </c>
      <c r="J88" s="278" t="s">
        <v>9</v>
      </c>
      <c r="K88" s="182"/>
      <c r="L88" s="282" t="s">
        <v>9</v>
      </c>
      <c r="M88" s="282" t="s">
        <v>9</v>
      </c>
      <c r="N88" s="279" t="s">
        <v>9</v>
      </c>
      <c r="O88" s="120">
        <f t="shared" si="6"/>
        <v>0</v>
      </c>
      <c r="P88" s="278" t="s">
        <v>9</v>
      </c>
      <c r="Q88" s="120">
        <f t="shared" si="7"/>
        <v>0</v>
      </c>
      <c r="R88" s="231" t="s">
        <v>9</v>
      </c>
      <c r="S88" s="71" t="s">
        <v>0</v>
      </c>
      <c r="T88">
        <v>70</v>
      </c>
      <c r="U88" s="333">
        <v>0.03089</v>
      </c>
      <c r="V88" s="333">
        <v>0.02036</v>
      </c>
      <c r="W88" s="333">
        <v>0.03085</v>
      </c>
      <c r="X88" s="334">
        <v>0.01708</v>
      </c>
      <c r="Y88" s="335">
        <v>0.04387</v>
      </c>
      <c r="Z88" s="335">
        <v>0.03634</v>
      </c>
      <c r="AA88" s="335">
        <v>0.03694</v>
      </c>
      <c r="AB88" s="336" t="str">
        <f>IF(Participant!$D$13="-","-",IF(I88&lt;&gt;0,I88*(1+HLOOKUP(Participant!$D$13,CF_Analysis!$U$18:$AA$118,CF_Analysis!T88+1,FALSE))^-T88,IF(ISNUMBER(J88),J88*(1+HLOOKUP(Participant!$D$13,CF_Analysis!$U$18:$AA$118,CF_Analysis!T88+1,FALSE))^-T88,"-")))</f>
        <v>-</v>
      </c>
      <c r="AC88">
        <v>70</v>
      </c>
      <c r="AD88" s="333">
        <v>0.02619</v>
      </c>
      <c r="AE88" s="333">
        <v>0.01566</v>
      </c>
      <c r="AF88" s="333">
        <v>0.02615</v>
      </c>
      <c r="AG88" s="333">
        <v>0.01238</v>
      </c>
      <c r="AH88" s="333">
        <v>0.03917</v>
      </c>
      <c r="AI88" s="333">
        <v>0.03164</v>
      </c>
      <c r="AJ88" s="333">
        <v>0.03224</v>
      </c>
      <c r="AK88" s="336" t="str">
        <f>IF(Participant!$D$13="-","-",IF(Q88&lt;&gt;0,Q88*(1+HLOOKUP(Participant!$D$13,$AD$18:$AJ$118,CF_Analysis!AC88+1,FALSE))^-AC88,IF(ISNUMBER(R88),R88*(1+HLOOKUP(Participant!$D$13,$AD$18:$AJ$118,CF_Analysis!AC88+1,FALSE))^-AC88,"-")))</f>
        <v>-</v>
      </c>
      <c r="AL88" s="71" t="s">
        <v>0</v>
      </c>
      <c r="AM88" s="51"/>
    </row>
    <row r="89" spans="3:39" ht="15" customHeight="1">
      <c r="C89" s="274">
        <v>71</v>
      </c>
      <c r="D89" s="282" t="s">
        <v>9</v>
      </c>
      <c r="E89" s="282" t="s">
        <v>9</v>
      </c>
      <c r="F89" s="279" t="s">
        <v>9</v>
      </c>
      <c r="G89" s="120">
        <f t="shared" si="4"/>
        <v>0</v>
      </c>
      <c r="H89" s="278" t="s">
        <v>9</v>
      </c>
      <c r="I89" s="120">
        <f t="shared" si="5"/>
        <v>0</v>
      </c>
      <c r="J89" s="278" t="s">
        <v>9</v>
      </c>
      <c r="K89" s="182"/>
      <c r="L89" s="282" t="s">
        <v>9</v>
      </c>
      <c r="M89" s="282" t="s">
        <v>9</v>
      </c>
      <c r="N89" s="279" t="s">
        <v>9</v>
      </c>
      <c r="O89" s="120">
        <f t="shared" si="6"/>
        <v>0</v>
      </c>
      <c r="P89" s="278" t="s">
        <v>9</v>
      </c>
      <c r="Q89" s="120">
        <f t="shared" si="7"/>
        <v>0</v>
      </c>
      <c r="R89" s="231" t="s">
        <v>9</v>
      </c>
      <c r="S89" s="71" t="s">
        <v>0</v>
      </c>
      <c r="T89">
        <v>71</v>
      </c>
      <c r="U89" s="333">
        <v>0.03104</v>
      </c>
      <c r="V89" s="333">
        <v>0.02052</v>
      </c>
      <c r="W89" s="333">
        <v>0.03101</v>
      </c>
      <c r="X89" s="334">
        <v>0.01741</v>
      </c>
      <c r="Y89" s="335">
        <v>0.04384</v>
      </c>
      <c r="Z89" s="335">
        <v>0.03642</v>
      </c>
      <c r="AA89" s="335">
        <v>0.03701</v>
      </c>
      <c r="AB89" s="336" t="str">
        <f>IF(Participant!$D$13="-","-",IF(I89&lt;&gt;0,I89*(1+HLOOKUP(Participant!$D$13,CF_Analysis!$U$18:$AA$118,CF_Analysis!T89+1,FALSE))^-T89,IF(ISNUMBER(J89),J89*(1+HLOOKUP(Participant!$D$13,CF_Analysis!$U$18:$AA$118,CF_Analysis!T89+1,FALSE))^-T89,"-")))</f>
        <v>-</v>
      </c>
      <c r="AC89">
        <v>71</v>
      </c>
      <c r="AD89" s="333">
        <v>0.02634</v>
      </c>
      <c r="AE89" s="333">
        <v>0.01582</v>
      </c>
      <c r="AF89" s="333">
        <v>0.02631</v>
      </c>
      <c r="AG89" s="333">
        <v>0.01271</v>
      </c>
      <c r="AH89" s="333">
        <v>0.03914</v>
      </c>
      <c r="AI89" s="333">
        <v>0.03172</v>
      </c>
      <c r="AJ89" s="333">
        <v>0.03231</v>
      </c>
      <c r="AK89" s="336" t="str">
        <f>IF(Participant!$D$13="-","-",IF(Q89&lt;&gt;0,Q89*(1+HLOOKUP(Participant!$D$13,$AD$18:$AJ$118,CF_Analysis!AC89+1,FALSE))^-AC89,IF(ISNUMBER(R89),R89*(1+HLOOKUP(Participant!$D$13,$AD$18:$AJ$118,CF_Analysis!AC89+1,FALSE))^-AC89,"-")))</f>
        <v>-</v>
      </c>
      <c r="AL89" s="71" t="s">
        <v>0</v>
      </c>
      <c r="AM89" s="51"/>
    </row>
    <row r="90" spans="3:39" ht="15" customHeight="1">
      <c r="C90" s="275">
        <v>72</v>
      </c>
      <c r="D90" s="282" t="s">
        <v>9</v>
      </c>
      <c r="E90" s="282" t="s">
        <v>9</v>
      </c>
      <c r="F90" s="279" t="s">
        <v>9</v>
      </c>
      <c r="G90" s="120">
        <f t="shared" si="4"/>
        <v>0</v>
      </c>
      <c r="H90" s="278" t="s">
        <v>9</v>
      </c>
      <c r="I90" s="120">
        <f t="shared" si="5"/>
        <v>0</v>
      </c>
      <c r="J90" s="278" t="s">
        <v>9</v>
      </c>
      <c r="K90" s="182"/>
      <c r="L90" s="282" t="s">
        <v>9</v>
      </c>
      <c r="M90" s="282" t="s">
        <v>9</v>
      </c>
      <c r="N90" s="279" t="s">
        <v>9</v>
      </c>
      <c r="O90" s="120">
        <f t="shared" si="6"/>
        <v>0</v>
      </c>
      <c r="P90" s="278" t="s">
        <v>9</v>
      </c>
      <c r="Q90" s="120">
        <f t="shared" si="7"/>
        <v>0</v>
      </c>
      <c r="R90" s="231" t="s">
        <v>9</v>
      </c>
      <c r="S90" s="71" t="s">
        <v>0</v>
      </c>
      <c r="T90">
        <v>72</v>
      </c>
      <c r="U90" s="333">
        <v>0.03119</v>
      </c>
      <c r="V90" s="333">
        <v>0.02068</v>
      </c>
      <c r="W90" s="333">
        <v>0.03116</v>
      </c>
      <c r="X90" s="334">
        <v>0.01773</v>
      </c>
      <c r="Y90" s="335">
        <v>0.04381</v>
      </c>
      <c r="Z90" s="335">
        <v>0.0365</v>
      </c>
      <c r="AA90" s="335">
        <v>0.03708</v>
      </c>
      <c r="AB90" s="336" t="str">
        <f>IF(Participant!$D$13="-","-",IF(I90&lt;&gt;0,I90*(1+HLOOKUP(Participant!$D$13,CF_Analysis!$U$18:$AA$118,CF_Analysis!T90+1,FALSE))^-T90,IF(ISNUMBER(J90),J90*(1+HLOOKUP(Participant!$D$13,CF_Analysis!$U$18:$AA$118,CF_Analysis!T90+1,FALSE))^-T90,"-")))</f>
        <v>-</v>
      </c>
      <c r="AC90">
        <v>72</v>
      </c>
      <c r="AD90" s="333">
        <v>0.02649</v>
      </c>
      <c r="AE90" s="333">
        <v>0.01598</v>
      </c>
      <c r="AF90" s="333">
        <v>0.02646</v>
      </c>
      <c r="AG90" s="333">
        <v>0.01303</v>
      </c>
      <c r="AH90" s="333">
        <v>0.03911</v>
      </c>
      <c r="AI90" s="333">
        <v>0.0318</v>
      </c>
      <c r="AJ90" s="333">
        <v>0.03238</v>
      </c>
      <c r="AK90" s="336" t="str">
        <f>IF(Participant!$D$13="-","-",IF(Q90&lt;&gt;0,Q90*(1+HLOOKUP(Participant!$D$13,$AD$18:$AJ$118,CF_Analysis!AC90+1,FALSE))^-AC90,IF(ISNUMBER(R90),R90*(1+HLOOKUP(Participant!$D$13,$AD$18:$AJ$118,CF_Analysis!AC90+1,FALSE))^-AC90,"-")))</f>
        <v>-</v>
      </c>
      <c r="AL90" s="71" t="s">
        <v>0</v>
      </c>
      <c r="AM90" s="51"/>
    </row>
    <row r="91" spans="3:39" ht="15" customHeight="1">
      <c r="C91" s="274">
        <v>73</v>
      </c>
      <c r="D91" s="282" t="s">
        <v>9</v>
      </c>
      <c r="E91" s="282" t="s">
        <v>9</v>
      </c>
      <c r="F91" s="279" t="s">
        <v>9</v>
      </c>
      <c r="G91" s="120">
        <f t="shared" si="4"/>
        <v>0</v>
      </c>
      <c r="H91" s="278" t="s">
        <v>9</v>
      </c>
      <c r="I91" s="120">
        <f t="shared" si="5"/>
        <v>0</v>
      </c>
      <c r="J91" s="278" t="s">
        <v>9</v>
      </c>
      <c r="K91" s="182"/>
      <c r="L91" s="282" t="s">
        <v>9</v>
      </c>
      <c r="M91" s="282" t="s">
        <v>9</v>
      </c>
      <c r="N91" s="279" t="s">
        <v>9</v>
      </c>
      <c r="O91" s="120">
        <f t="shared" si="6"/>
        <v>0</v>
      </c>
      <c r="P91" s="278" t="s">
        <v>9</v>
      </c>
      <c r="Q91" s="120">
        <f t="shared" si="7"/>
        <v>0</v>
      </c>
      <c r="R91" s="231" t="s">
        <v>9</v>
      </c>
      <c r="S91" s="71" t="s">
        <v>0</v>
      </c>
      <c r="T91">
        <v>73</v>
      </c>
      <c r="U91" s="333">
        <v>0.03134</v>
      </c>
      <c r="V91" s="333">
        <v>0.02083</v>
      </c>
      <c r="W91" s="333">
        <v>0.03131</v>
      </c>
      <c r="X91" s="334">
        <v>0.01804</v>
      </c>
      <c r="Y91" s="335">
        <v>0.04379</v>
      </c>
      <c r="Z91" s="335">
        <v>0.03657</v>
      </c>
      <c r="AA91" s="335">
        <v>0.03715</v>
      </c>
      <c r="AB91" s="336" t="str">
        <f>IF(Participant!$D$13="-","-",IF(I91&lt;&gt;0,I91*(1+HLOOKUP(Participant!$D$13,CF_Analysis!$U$18:$AA$118,CF_Analysis!T91+1,FALSE))^-T91,IF(ISNUMBER(J91),J91*(1+HLOOKUP(Participant!$D$13,CF_Analysis!$U$18:$AA$118,CF_Analysis!T91+1,FALSE))^-T91,"-")))</f>
        <v>-</v>
      </c>
      <c r="AC91">
        <v>73</v>
      </c>
      <c r="AD91" s="333">
        <v>0.02664</v>
      </c>
      <c r="AE91" s="333">
        <v>0.01613</v>
      </c>
      <c r="AF91" s="333">
        <v>0.02661</v>
      </c>
      <c r="AG91" s="333">
        <v>0.01334</v>
      </c>
      <c r="AH91" s="333">
        <v>0.03909</v>
      </c>
      <c r="AI91" s="333">
        <v>0.03187</v>
      </c>
      <c r="AJ91" s="333">
        <v>0.03245</v>
      </c>
      <c r="AK91" s="336" t="str">
        <f>IF(Participant!$D$13="-","-",IF(Q91&lt;&gt;0,Q91*(1+HLOOKUP(Participant!$D$13,$AD$18:$AJ$118,CF_Analysis!AC91+1,FALSE))^-AC91,IF(ISNUMBER(R91),R91*(1+HLOOKUP(Participant!$D$13,$AD$18:$AJ$118,CF_Analysis!AC91+1,FALSE))^-AC91,"-")))</f>
        <v>-</v>
      </c>
      <c r="AL91" s="71" t="s">
        <v>0</v>
      </c>
      <c r="AM91" s="51"/>
    </row>
    <row r="92" spans="3:39" ht="15" customHeight="1">
      <c r="C92" s="275">
        <v>74</v>
      </c>
      <c r="D92" s="282" t="s">
        <v>9</v>
      </c>
      <c r="E92" s="282" t="s">
        <v>9</v>
      </c>
      <c r="F92" s="279" t="s">
        <v>9</v>
      </c>
      <c r="G92" s="120">
        <f t="shared" si="4"/>
        <v>0</v>
      </c>
      <c r="H92" s="278" t="s">
        <v>9</v>
      </c>
      <c r="I92" s="120">
        <f t="shared" si="5"/>
        <v>0</v>
      </c>
      <c r="J92" s="278" t="s">
        <v>9</v>
      </c>
      <c r="K92" s="182"/>
      <c r="L92" s="282" t="s">
        <v>9</v>
      </c>
      <c r="M92" s="282" t="s">
        <v>9</v>
      </c>
      <c r="N92" s="279" t="s">
        <v>9</v>
      </c>
      <c r="O92" s="120">
        <f t="shared" si="6"/>
        <v>0</v>
      </c>
      <c r="P92" s="278" t="s">
        <v>9</v>
      </c>
      <c r="Q92" s="120">
        <f t="shared" si="7"/>
        <v>0</v>
      </c>
      <c r="R92" s="231" t="s">
        <v>9</v>
      </c>
      <c r="S92" s="71" t="s">
        <v>0</v>
      </c>
      <c r="T92">
        <v>74</v>
      </c>
      <c r="U92" s="333">
        <v>0.03148</v>
      </c>
      <c r="V92" s="333">
        <v>0.02098</v>
      </c>
      <c r="W92" s="333">
        <v>0.03145</v>
      </c>
      <c r="X92" s="334">
        <v>0.01835</v>
      </c>
      <c r="Y92" s="335">
        <v>0.04377</v>
      </c>
      <c r="Z92" s="335">
        <v>0.03665</v>
      </c>
      <c r="AA92" s="335">
        <v>0.03722</v>
      </c>
      <c r="AB92" s="336" t="str">
        <f>IF(Participant!$D$13="-","-",IF(I92&lt;&gt;0,I92*(1+HLOOKUP(Participant!$D$13,CF_Analysis!$U$18:$AA$118,CF_Analysis!T92+1,FALSE))^-T92,IF(ISNUMBER(J92),J92*(1+HLOOKUP(Participant!$D$13,CF_Analysis!$U$18:$AA$118,CF_Analysis!T92+1,FALSE))^-T92,"-")))</f>
        <v>-</v>
      </c>
      <c r="AC92">
        <v>74</v>
      </c>
      <c r="AD92" s="333">
        <v>0.02678</v>
      </c>
      <c r="AE92" s="333">
        <v>0.01628</v>
      </c>
      <c r="AF92" s="333">
        <v>0.02675</v>
      </c>
      <c r="AG92" s="333">
        <v>0.01365</v>
      </c>
      <c r="AH92" s="333">
        <v>0.03907</v>
      </c>
      <c r="AI92" s="333">
        <v>0.03195</v>
      </c>
      <c r="AJ92" s="333">
        <v>0.03252</v>
      </c>
      <c r="AK92" s="336" t="str">
        <f>IF(Participant!$D$13="-","-",IF(Q92&lt;&gt;0,Q92*(1+HLOOKUP(Participant!$D$13,$AD$18:$AJ$118,CF_Analysis!AC92+1,FALSE))^-AC92,IF(ISNUMBER(R92),R92*(1+HLOOKUP(Participant!$D$13,$AD$18:$AJ$118,CF_Analysis!AC92+1,FALSE))^-AC92,"-")))</f>
        <v>-</v>
      </c>
      <c r="AL92" s="71" t="s">
        <v>0</v>
      </c>
      <c r="AM92" s="51"/>
    </row>
    <row r="93" spans="3:39" ht="15" customHeight="1">
      <c r="C93" s="274">
        <v>75</v>
      </c>
      <c r="D93" s="282" t="s">
        <v>9</v>
      </c>
      <c r="E93" s="282" t="s">
        <v>9</v>
      </c>
      <c r="F93" s="279" t="s">
        <v>9</v>
      </c>
      <c r="G93" s="120">
        <f t="shared" si="4"/>
        <v>0</v>
      </c>
      <c r="H93" s="278" t="s">
        <v>9</v>
      </c>
      <c r="I93" s="120">
        <f t="shared" si="5"/>
        <v>0</v>
      </c>
      <c r="J93" s="278" t="s">
        <v>9</v>
      </c>
      <c r="K93" s="182"/>
      <c r="L93" s="282" t="s">
        <v>9</v>
      </c>
      <c r="M93" s="282" t="s">
        <v>9</v>
      </c>
      <c r="N93" s="279" t="s">
        <v>9</v>
      </c>
      <c r="O93" s="120">
        <f t="shared" si="6"/>
        <v>0</v>
      </c>
      <c r="P93" s="278" t="s">
        <v>9</v>
      </c>
      <c r="Q93" s="120">
        <f t="shared" si="7"/>
        <v>0</v>
      </c>
      <c r="R93" s="231" t="s">
        <v>9</v>
      </c>
      <c r="S93" s="71" t="s">
        <v>0</v>
      </c>
      <c r="T93">
        <v>75</v>
      </c>
      <c r="U93" s="333">
        <v>0.03162</v>
      </c>
      <c r="V93" s="333">
        <v>0.02113</v>
      </c>
      <c r="W93" s="333">
        <v>0.03159</v>
      </c>
      <c r="X93" s="334">
        <v>0.01865</v>
      </c>
      <c r="Y93" s="335">
        <v>0.04374</v>
      </c>
      <c r="Z93" s="335">
        <v>0.03672</v>
      </c>
      <c r="AA93" s="335">
        <v>0.03728</v>
      </c>
      <c r="AB93" s="336" t="str">
        <f>IF(Participant!$D$13="-","-",IF(I93&lt;&gt;0,I93*(1+HLOOKUP(Participant!$D$13,CF_Analysis!$U$18:$AA$118,CF_Analysis!T93+1,FALSE))^-T93,IF(ISNUMBER(J93),J93*(1+HLOOKUP(Participant!$D$13,CF_Analysis!$U$18:$AA$118,CF_Analysis!T93+1,FALSE))^-T93,"-")))</f>
        <v>-</v>
      </c>
      <c r="AC93">
        <v>75</v>
      </c>
      <c r="AD93" s="333">
        <v>0.02692</v>
      </c>
      <c r="AE93" s="333">
        <v>0.01643</v>
      </c>
      <c r="AF93" s="333">
        <v>0.02689</v>
      </c>
      <c r="AG93" s="333">
        <v>0.01395</v>
      </c>
      <c r="AH93" s="333">
        <v>0.03904</v>
      </c>
      <c r="AI93" s="333">
        <v>0.03202</v>
      </c>
      <c r="AJ93" s="333">
        <v>0.03258</v>
      </c>
      <c r="AK93" s="336" t="str">
        <f>IF(Participant!$D$13="-","-",IF(Q93&lt;&gt;0,Q93*(1+HLOOKUP(Participant!$D$13,$AD$18:$AJ$118,CF_Analysis!AC93+1,FALSE))^-AC93,IF(ISNUMBER(R93),R93*(1+HLOOKUP(Participant!$D$13,$AD$18:$AJ$118,CF_Analysis!AC93+1,FALSE))^-AC93,"-")))</f>
        <v>-</v>
      </c>
      <c r="AL93" s="71" t="s">
        <v>0</v>
      </c>
      <c r="AM93" s="51"/>
    </row>
    <row r="94" spans="3:39" ht="15" customHeight="1">
      <c r="C94" s="275">
        <v>76</v>
      </c>
      <c r="D94" s="282" t="s">
        <v>9</v>
      </c>
      <c r="E94" s="282" t="s">
        <v>9</v>
      </c>
      <c r="F94" s="279" t="s">
        <v>9</v>
      </c>
      <c r="G94" s="120">
        <f t="shared" si="4"/>
        <v>0</v>
      </c>
      <c r="H94" s="278" t="s">
        <v>9</v>
      </c>
      <c r="I94" s="120">
        <f t="shared" si="5"/>
        <v>0</v>
      </c>
      <c r="J94" s="278" t="s">
        <v>9</v>
      </c>
      <c r="K94" s="182"/>
      <c r="L94" s="282" t="s">
        <v>9</v>
      </c>
      <c r="M94" s="282" t="s">
        <v>9</v>
      </c>
      <c r="N94" s="279" t="s">
        <v>9</v>
      </c>
      <c r="O94" s="120">
        <f t="shared" si="6"/>
        <v>0</v>
      </c>
      <c r="P94" s="278" t="s">
        <v>9</v>
      </c>
      <c r="Q94" s="120">
        <f t="shared" si="7"/>
        <v>0</v>
      </c>
      <c r="R94" s="231" t="s">
        <v>9</v>
      </c>
      <c r="S94" s="71" t="s">
        <v>0</v>
      </c>
      <c r="T94">
        <v>76</v>
      </c>
      <c r="U94" s="333">
        <v>0.03176</v>
      </c>
      <c r="V94" s="333">
        <v>0.02127</v>
      </c>
      <c r="W94" s="333">
        <v>0.03172</v>
      </c>
      <c r="X94" s="334">
        <v>0.01894</v>
      </c>
      <c r="Y94" s="335">
        <v>0.04372</v>
      </c>
      <c r="Z94" s="335">
        <v>0.03679</v>
      </c>
      <c r="AA94" s="335">
        <v>0.03734</v>
      </c>
      <c r="AB94" s="336" t="str">
        <f>IF(Participant!$D$13="-","-",IF(I94&lt;&gt;0,I94*(1+HLOOKUP(Participant!$D$13,CF_Analysis!$U$18:$AA$118,CF_Analysis!T94+1,FALSE))^-T94,IF(ISNUMBER(J94),J94*(1+HLOOKUP(Participant!$D$13,CF_Analysis!$U$18:$AA$118,CF_Analysis!T94+1,FALSE))^-T94,"-")))</f>
        <v>-</v>
      </c>
      <c r="AC94">
        <v>76</v>
      </c>
      <c r="AD94" s="333">
        <v>0.02706</v>
      </c>
      <c r="AE94" s="333">
        <v>0.01657</v>
      </c>
      <c r="AF94" s="333">
        <v>0.02702</v>
      </c>
      <c r="AG94" s="333">
        <v>0.01424</v>
      </c>
      <c r="AH94" s="333">
        <v>0.03902</v>
      </c>
      <c r="AI94" s="333">
        <v>0.03209</v>
      </c>
      <c r="AJ94" s="333">
        <v>0.03264</v>
      </c>
      <c r="AK94" s="336" t="str">
        <f>IF(Participant!$D$13="-","-",IF(Q94&lt;&gt;0,Q94*(1+HLOOKUP(Participant!$D$13,$AD$18:$AJ$118,CF_Analysis!AC94+1,FALSE))^-AC94,IF(ISNUMBER(R94),R94*(1+HLOOKUP(Participant!$D$13,$AD$18:$AJ$118,CF_Analysis!AC94+1,FALSE))^-AC94,"-")))</f>
        <v>-</v>
      </c>
      <c r="AL94" s="71" t="s">
        <v>0</v>
      </c>
      <c r="AM94" s="51"/>
    </row>
    <row r="95" spans="3:39" ht="15" customHeight="1">
      <c r="C95" s="274">
        <v>77</v>
      </c>
      <c r="D95" s="282" t="s">
        <v>9</v>
      </c>
      <c r="E95" s="282" t="s">
        <v>9</v>
      </c>
      <c r="F95" s="279" t="s">
        <v>9</v>
      </c>
      <c r="G95" s="120">
        <f t="shared" si="4"/>
        <v>0</v>
      </c>
      <c r="H95" s="278" t="s">
        <v>9</v>
      </c>
      <c r="I95" s="120">
        <f t="shared" si="5"/>
        <v>0</v>
      </c>
      <c r="J95" s="278" t="s">
        <v>9</v>
      </c>
      <c r="K95" s="182"/>
      <c r="L95" s="282" t="s">
        <v>9</v>
      </c>
      <c r="M95" s="282" t="s">
        <v>9</v>
      </c>
      <c r="N95" s="279" t="s">
        <v>9</v>
      </c>
      <c r="O95" s="120">
        <f t="shared" si="6"/>
        <v>0</v>
      </c>
      <c r="P95" s="278" t="s">
        <v>9</v>
      </c>
      <c r="Q95" s="120">
        <f t="shared" si="7"/>
        <v>0</v>
      </c>
      <c r="R95" s="231" t="s">
        <v>9</v>
      </c>
      <c r="S95" s="71" t="s">
        <v>0</v>
      </c>
      <c r="T95">
        <v>77</v>
      </c>
      <c r="U95" s="333">
        <v>0.03189</v>
      </c>
      <c r="V95" s="333">
        <v>0.02141</v>
      </c>
      <c r="W95" s="333">
        <v>0.03186</v>
      </c>
      <c r="X95" s="334">
        <v>0.01923</v>
      </c>
      <c r="Y95" s="335">
        <v>0.0437</v>
      </c>
      <c r="Z95" s="335">
        <v>0.03685</v>
      </c>
      <c r="AA95" s="335">
        <v>0.0374</v>
      </c>
      <c r="AB95" s="336" t="str">
        <f>IF(Participant!$D$13="-","-",IF(I95&lt;&gt;0,I95*(1+HLOOKUP(Participant!$D$13,CF_Analysis!$U$18:$AA$118,CF_Analysis!T95+1,FALSE))^-T95,IF(ISNUMBER(J95),J95*(1+HLOOKUP(Participant!$D$13,CF_Analysis!$U$18:$AA$118,CF_Analysis!T95+1,FALSE))^-T95,"-")))</f>
        <v>-</v>
      </c>
      <c r="AC95">
        <v>77</v>
      </c>
      <c r="AD95" s="333">
        <v>0.02719</v>
      </c>
      <c r="AE95" s="333">
        <v>0.01671</v>
      </c>
      <c r="AF95" s="333">
        <v>0.02716</v>
      </c>
      <c r="AG95" s="333">
        <v>0.01453</v>
      </c>
      <c r="AH95" s="333">
        <v>0.039</v>
      </c>
      <c r="AI95" s="333">
        <v>0.03215</v>
      </c>
      <c r="AJ95" s="333">
        <v>0.0327</v>
      </c>
      <c r="AK95" s="336" t="str">
        <f>IF(Participant!$D$13="-","-",IF(Q95&lt;&gt;0,Q95*(1+HLOOKUP(Participant!$D$13,$AD$18:$AJ$118,CF_Analysis!AC95+1,FALSE))^-AC95,IF(ISNUMBER(R95),R95*(1+HLOOKUP(Participant!$D$13,$AD$18:$AJ$118,CF_Analysis!AC95+1,FALSE))^-AC95,"-")))</f>
        <v>-</v>
      </c>
      <c r="AL95" s="71" t="s">
        <v>0</v>
      </c>
      <c r="AM95" s="51"/>
    </row>
    <row r="96" spans="3:39" ht="15" customHeight="1">
      <c r="C96" s="275">
        <v>78</v>
      </c>
      <c r="D96" s="282" t="s">
        <v>9</v>
      </c>
      <c r="E96" s="282" t="s">
        <v>9</v>
      </c>
      <c r="F96" s="279" t="s">
        <v>9</v>
      </c>
      <c r="G96" s="120">
        <f t="shared" si="4"/>
        <v>0</v>
      </c>
      <c r="H96" s="278" t="s">
        <v>9</v>
      </c>
      <c r="I96" s="120">
        <f t="shared" si="5"/>
        <v>0</v>
      </c>
      <c r="J96" s="278" t="s">
        <v>9</v>
      </c>
      <c r="K96" s="182"/>
      <c r="L96" s="282" t="s">
        <v>9</v>
      </c>
      <c r="M96" s="282" t="s">
        <v>9</v>
      </c>
      <c r="N96" s="279" t="s">
        <v>9</v>
      </c>
      <c r="O96" s="120">
        <f t="shared" si="6"/>
        <v>0</v>
      </c>
      <c r="P96" s="278" t="s">
        <v>9</v>
      </c>
      <c r="Q96" s="120">
        <f t="shared" si="7"/>
        <v>0</v>
      </c>
      <c r="R96" s="231" t="s">
        <v>9</v>
      </c>
      <c r="S96" s="71" t="s">
        <v>0</v>
      </c>
      <c r="T96">
        <v>78</v>
      </c>
      <c r="U96" s="333">
        <v>0.03202</v>
      </c>
      <c r="V96" s="333">
        <v>0.02154</v>
      </c>
      <c r="W96" s="333">
        <v>0.03199</v>
      </c>
      <c r="X96" s="334">
        <v>0.01951</v>
      </c>
      <c r="Y96" s="335">
        <v>0.04368</v>
      </c>
      <c r="Z96" s="335">
        <v>0.03692</v>
      </c>
      <c r="AA96" s="335">
        <v>0.03746</v>
      </c>
      <c r="AB96" s="336" t="str">
        <f>IF(Participant!$D$13="-","-",IF(I96&lt;&gt;0,I96*(1+HLOOKUP(Participant!$D$13,CF_Analysis!$U$18:$AA$118,CF_Analysis!T96+1,FALSE))^-T96,IF(ISNUMBER(J96),J96*(1+HLOOKUP(Participant!$D$13,CF_Analysis!$U$18:$AA$118,CF_Analysis!T96+1,FALSE))^-T96,"-")))</f>
        <v>-</v>
      </c>
      <c r="AC96">
        <v>78</v>
      </c>
      <c r="AD96" s="333">
        <v>0.02732</v>
      </c>
      <c r="AE96" s="333">
        <v>0.01684</v>
      </c>
      <c r="AF96" s="333">
        <v>0.02729</v>
      </c>
      <c r="AG96" s="333">
        <v>0.01481</v>
      </c>
      <c r="AH96" s="333">
        <v>0.03898</v>
      </c>
      <c r="AI96" s="333">
        <v>0.03222</v>
      </c>
      <c r="AJ96" s="333">
        <v>0.03276</v>
      </c>
      <c r="AK96" s="336" t="str">
        <f>IF(Participant!$D$13="-","-",IF(Q96&lt;&gt;0,Q96*(1+HLOOKUP(Participant!$D$13,$AD$18:$AJ$118,CF_Analysis!AC96+1,FALSE))^-AC96,IF(ISNUMBER(R96),R96*(1+HLOOKUP(Participant!$D$13,$AD$18:$AJ$118,CF_Analysis!AC96+1,FALSE))^-AC96,"-")))</f>
        <v>-</v>
      </c>
      <c r="AL96" s="71" t="s">
        <v>0</v>
      </c>
      <c r="AM96" s="51"/>
    </row>
    <row r="97" spans="3:39" ht="15" customHeight="1">
      <c r="C97" s="274">
        <v>79</v>
      </c>
      <c r="D97" s="282" t="s">
        <v>9</v>
      </c>
      <c r="E97" s="282" t="s">
        <v>9</v>
      </c>
      <c r="F97" s="279" t="s">
        <v>9</v>
      </c>
      <c r="G97" s="120">
        <f t="shared" si="4"/>
        <v>0</v>
      </c>
      <c r="H97" s="278" t="s">
        <v>9</v>
      </c>
      <c r="I97" s="120">
        <f t="shared" si="5"/>
        <v>0</v>
      </c>
      <c r="J97" s="278" t="s">
        <v>9</v>
      </c>
      <c r="K97" s="182"/>
      <c r="L97" s="282" t="s">
        <v>9</v>
      </c>
      <c r="M97" s="282" t="s">
        <v>9</v>
      </c>
      <c r="N97" s="279" t="s">
        <v>9</v>
      </c>
      <c r="O97" s="120">
        <f t="shared" si="6"/>
        <v>0</v>
      </c>
      <c r="P97" s="278" t="s">
        <v>9</v>
      </c>
      <c r="Q97" s="120">
        <f t="shared" si="7"/>
        <v>0</v>
      </c>
      <c r="R97" s="231" t="s">
        <v>9</v>
      </c>
      <c r="S97" s="71" t="s">
        <v>0</v>
      </c>
      <c r="T97">
        <v>79</v>
      </c>
      <c r="U97" s="333">
        <v>0.03215</v>
      </c>
      <c r="V97" s="333">
        <v>0.02167</v>
      </c>
      <c r="W97" s="333">
        <v>0.03211</v>
      </c>
      <c r="X97" s="334">
        <v>0.01979</v>
      </c>
      <c r="Y97" s="335">
        <v>0.04366</v>
      </c>
      <c r="Z97" s="335">
        <v>0.03698</v>
      </c>
      <c r="AA97" s="335">
        <v>0.03752</v>
      </c>
      <c r="AB97" s="336" t="str">
        <f>IF(Participant!$D$13="-","-",IF(I97&lt;&gt;0,I97*(1+HLOOKUP(Participant!$D$13,CF_Analysis!$U$18:$AA$118,CF_Analysis!T97+1,FALSE))^-T97,IF(ISNUMBER(J97),J97*(1+HLOOKUP(Participant!$D$13,CF_Analysis!$U$18:$AA$118,CF_Analysis!T97+1,FALSE))^-T97,"-")))</f>
        <v>-</v>
      </c>
      <c r="AC97">
        <v>79</v>
      </c>
      <c r="AD97" s="333">
        <v>0.02745</v>
      </c>
      <c r="AE97" s="333">
        <v>0.01697</v>
      </c>
      <c r="AF97" s="333">
        <v>0.02741</v>
      </c>
      <c r="AG97" s="333">
        <v>0.01509</v>
      </c>
      <c r="AH97" s="333">
        <v>0.03896</v>
      </c>
      <c r="AI97" s="333">
        <v>0.03228</v>
      </c>
      <c r="AJ97" s="333">
        <v>0.03282</v>
      </c>
      <c r="AK97" s="336" t="str">
        <f>IF(Participant!$D$13="-","-",IF(Q97&lt;&gt;0,Q97*(1+HLOOKUP(Participant!$D$13,$AD$18:$AJ$118,CF_Analysis!AC97+1,FALSE))^-AC97,IF(ISNUMBER(R97),R97*(1+HLOOKUP(Participant!$D$13,$AD$18:$AJ$118,CF_Analysis!AC97+1,FALSE))^-AC97,"-")))</f>
        <v>-</v>
      </c>
      <c r="AL97" s="71" t="s">
        <v>0</v>
      </c>
      <c r="AM97" s="51"/>
    </row>
    <row r="98" spans="3:39" ht="15" customHeight="1">
      <c r="C98" s="275">
        <v>80</v>
      </c>
      <c r="D98" s="282" t="s">
        <v>9</v>
      </c>
      <c r="E98" s="282" t="s">
        <v>9</v>
      </c>
      <c r="F98" s="279" t="s">
        <v>9</v>
      </c>
      <c r="G98" s="120">
        <f t="shared" si="4"/>
        <v>0</v>
      </c>
      <c r="H98" s="278" t="s">
        <v>9</v>
      </c>
      <c r="I98" s="120">
        <f t="shared" si="5"/>
        <v>0</v>
      </c>
      <c r="J98" s="278" t="s">
        <v>9</v>
      </c>
      <c r="K98" s="182"/>
      <c r="L98" s="282" t="s">
        <v>9</v>
      </c>
      <c r="M98" s="282" t="s">
        <v>9</v>
      </c>
      <c r="N98" s="279" t="s">
        <v>9</v>
      </c>
      <c r="O98" s="120">
        <f t="shared" si="6"/>
        <v>0</v>
      </c>
      <c r="P98" s="278" t="s">
        <v>9</v>
      </c>
      <c r="Q98" s="120">
        <f t="shared" si="7"/>
        <v>0</v>
      </c>
      <c r="R98" s="231" t="s">
        <v>9</v>
      </c>
      <c r="S98" s="71" t="s">
        <v>0</v>
      </c>
      <c r="T98">
        <v>80</v>
      </c>
      <c r="U98" s="333">
        <v>0.03227</v>
      </c>
      <c r="V98" s="333">
        <v>0.0218</v>
      </c>
      <c r="W98" s="333">
        <v>0.03224</v>
      </c>
      <c r="X98" s="334">
        <v>0.02006</v>
      </c>
      <c r="Y98" s="335">
        <v>0.04364</v>
      </c>
      <c r="Z98" s="335">
        <v>0.03705</v>
      </c>
      <c r="AA98" s="335">
        <v>0.03757</v>
      </c>
      <c r="AB98" s="336" t="str">
        <f>IF(Participant!$D$13="-","-",IF(I98&lt;&gt;0,I98*(1+HLOOKUP(Participant!$D$13,CF_Analysis!$U$18:$AA$118,CF_Analysis!T98+1,FALSE))^-T98,IF(ISNUMBER(J98),J98*(1+HLOOKUP(Participant!$D$13,CF_Analysis!$U$18:$AA$118,CF_Analysis!T98+1,FALSE))^-T98,"-")))</f>
        <v>-</v>
      </c>
      <c r="AC98">
        <v>80</v>
      </c>
      <c r="AD98" s="333">
        <v>0.02757</v>
      </c>
      <c r="AE98" s="333">
        <v>0.0171</v>
      </c>
      <c r="AF98" s="333">
        <v>0.02754</v>
      </c>
      <c r="AG98" s="333">
        <v>0.01536</v>
      </c>
      <c r="AH98" s="333">
        <v>0.03894</v>
      </c>
      <c r="AI98" s="333">
        <v>0.03235</v>
      </c>
      <c r="AJ98" s="333">
        <v>0.03287</v>
      </c>
      <c r="AK98" s="336" t="str">
        <f>IF(Participant!$D$13="-","-",IF(Q98&lt;&gt;0,Q98*(1+HLOOKUP(Participant!$D$13,$AD$18:$AJ$118,CF_Analysis!AC98+1,FALSE))^-AC98,IF(ISNUMBER(R98),R98*(1+HLOOKUP(Participant!$D$13,$AD$18:$AJ$118,CF_Analysis!AC98+1,FALSE))^-AC98,"-")))</f>
        <v>-</v>
      </c>
      <c r="AL98" s="71" t="s">
        <v>0</v>
      </c>
      <c r="AM98" s="51"/>
    </row>
    <row r="99" spans="3:39" ht="15" customHeight="1">
      <c r="C99" s="274">
        <v>81</v>
      </c>
      <c r="D99" s="282" t="s">
        <v>9</v>
      </c>
      <c r="E99" s="282" t="s">
        <v>9</v>
      </c>
      <c r="F99" s="279" t="s">
        <v>9</v>
      </c>
      <c r="G99" s="120">
        <f t="shared" si="4"/>
        <v>0</v>
      </c>
      <c r="H99" s="278" t="s">
        <v>9</v>
      </c>
      <c r="I99" s="120">
        <f t="shared" si="5"/>
        <v>0</v>
      </c>
      <c r="J99" s="278" t="s">
        <v>9</v>
      </c>
      <c r="K99" s="182"/>
      <c r="L99" s="282" t="s">
        <v>9</v>
      </c>
      <c r="M99" s="282" t="s">
        <v>9</v>
      </c>
      <c r="N99" s="279" t="s">
        <v>9</v>
      </c>
      <c r="O99" s="120">
        <f t="shared" si="6"/>
        <v>0</v>
      </c>
      <c r="P99" s="278" t="s">
        <v>9</v>
      </c>
      <c r="Q99" s="120">
        <f t="shared" si="7"/>
        <v>0</v>
      </c>
      <c r="R99" s="231" t="s">
        <v>9</v>
      </c>
      <c r="S99" s="71" t="s">
        <v>0</v>
      </c>
      <c r="T99">
        <v>81</v>
      </c>
      <c r="U99" s="333">
        <v>0.03239</v>
      </c>
      <c r="V99" s="333">
        <v>0.02193</v>
      </c>
      <c r="W99" s="333">
        <v>0.03236</v>
      </c>
      <c r="X99" s="334">
        <v>0.02032</v>
      </c>
      <c r="Y99" s="335">
        <v>0.04362</v>
      </c>
      <c r="Z99" s="335">
        <v>0.03711</v>
      </c>
      <c r="AA99" s="335">
        <v>0.03763</v>
      </c>
      <c r="AB99" s="336" t="str">
        <f>IF(Participant!$D$13="-","-",IF(I99&lt;&gt;0,I99*(1+HLOOKUP(Participant!$D$13,CF_Analysis!$U$18:$AA$118,CF_Analysis!T99+1,FALSE))^-T99,IF(ISNUMBER(J99),J99*(1+HLOOKUP(Participant!$D$13,CF_Analysis!$U$18:$AA$118,CF_Analysis!T99+1,FALSE))^-T99,"-")))</f>
        <v>-</v>
      </c>
      <c r="AC99">
        <v>81</v>
      </c>
      <c r="AD99" s="333">
        <v>0.02769</v>
      </c>
      <c r="AE99" s="333">
        <v>0.01723</v>
      </c>
      <c r="AF99" s="333">
        <v>0.02766</v>
      </c>
      <c r="AG99" s="333">
        <v>0.01562</v>
      </c>
      <c r="AH99" s="333">
        <v>0.03892</v>
      </c>
      <c r="AI99" s="333">
        <v>0.03241</v>
      </c>
      <c r="AJ99" s="333">
        <v>0.03293</v>
      </c>
      <c r="AK99" s="336" t="str">
        <f>IF(Participant!$D$13="-","-",IF(Q99&lt;&gt;0,Q99*(1+HLOOKUP(Participant!$D$13,$AD$18:$AJ$118,CF_Analysis!AC99+1,FALSE))^-AC99,IF(ISNUMBER(R99),R99*(1+HLOOKUP(Participant!$D$13,$AD$18:$AJ$118,CF_Analysis!AC99+1,FALSE))^-AC99,"-")))</f>
        <v>-</v>
      </c>
      <c r="AL99" s="71" t="s">
        <v>0</v>
      </c>
      <c r="AM99" s="51"/>
    </row>
    <row r="100" spans="3:39" ht="15" customHeight="1">
      <c r="C100" s="275">
        <v>82</v>
      </c>
      <c r="D100" s="282" t="s">
        <v>9</v>
      </c>
      <c r="E100" s="282" t="s">
        <v>9</v>
      </c>
      <c r="F100" s="279" t="s">
        <v>9</v>
      </c>
      <c r="G100" s="120">
        <f t="shared" si="4"/>
        <v>0</v>
      </c>
      <c r="H100" s="278" t="s">
        <v>9</v>
      </c>
      <c r="I100" s="120">
        <f t="shared" si="5"/>
        <v>0</v>
      </c>
      <c r="J100" s="278" t="s">
        <v>9</v>
      </c>
      <c r="K100" s="182"/>
      <c r="L100" s="282" t="s">
        <v>9</v>
      </c>
      <c r="M100" s="282" t="s">
        <v>9</v>
      </c>
      <c r="N100" s="279" t="s">
        <v>9</v>
      </c>
      <c r="O100" s="120">
        <f t="shared" si="6"/>
        <v>0</v>
      </c>
      <c r="P100" s="278" t="s">
        <v>9</v>
      </c>
      <c r="Q100" s="120">
        <f t="shared" si="7"/>
        <v>0</v>
      </c>
      <c r="R100" s="231" t="s">
        <v>9</v>
      </c>
      <c r="S100" s="71" t="s">
        <v>0</v>
      </c>
      <c r="T100">
        <v>82</v>
      </c>
      <c r="U100" s="333">
        <v>0.0325</v>
      </c>
      <c r="V100" s="333">
        <v>0.02205</v>
      </c>
      <c r="W100" s="333">
        <v>0.03247</v>
      </c>
      <c r="X100" s="334">
        <v>0.02058</v>
      </c>
      <c r="Y100" s="335">
        <v>0.0436</v>
      </c>
      <c r="Z100" s="335">
        <v>0.03717</v>
      </c>
      <c r="AA100" s="335">
        <v>0.03768</v>
      </c>
      <c r="AB100" s="336" t="str">
        <f>IF(Participant!$D$13="-","-",IF(I100&lt;&gt;0,I100*(1+HLOOKUP(Participant!$D$13,CF_Analysis!$U$18:$AA$118,CF_Analysis!T100+1,FALSE))^-T100,IF(ISNUMBER(J100),J100*(1+HLOOKUP(Participant!$D$13,CF_Analysis!$U$18:$AA$118,CF_Analysis!T100+1,FALSE))^-T100,"-")))</f>
        <v>-</v>
      </c>
      <c r="AC100">
        <v>82</v>
      </c>
      <c r="AD100" s="333">
        <v>0.0278</v>
      </c>
      <c r="AE100" s="333">
        <v>0.01735</v>
      </c>
      <c r="AF100" s="333">
        <v>0.02777</v>
      </c>
      <c r="AG100" s="333">
        <v>0.01588</v>
      </c>
      <c r="AH100" s="333">
        <v>0.0389</v>
      </c>
      <c r="AI100" s="333">
        <v>0.03247</v>
      </c>
      <c r="AJ100" s="333">
        <v>0.03298</v>
      </c>
      <c r="AK100" s="336" t="str">
        <f>IF(Participant!$D$13="-","-",IF(Q100&lt;&gt;0,Q100*(1+HLOOKUP(Participant!$D$13,$AD$18:$AJ$118,CF_Analysis!AC100+1,FALSE))^-AC100,IF(ISNUMBER(R100),R100*(1+HLOOKUP(Participant!$D$13,$AD$18:$AJ$118,CF_Analysis!AC100+1,FALSE))^-AC100,"-")))</f>
        <v>-</v>
      </c>
      <c r="AL100" s="71" t="s">
        <v>0</v>
      </c>
      <c r="AM100" s="51"/>
    </row>
    <row r="101" spans="3:39" ht="15" customHeight="1">
      <c r="C101" s="274">
        <v>83</v>
      </c>
      <c r="D101" s="282" t="s">
        <v>9</v>
      </c>
      <c r="E101" s="282" t="s">
        <v>9</v>
      </c>
      <c r="F101" s="279" t="s">
        <v>9</v>
      </c>
      <c r="G101" s="120">
        <f t="shared" si="4"/>
        <v>0</v>
      </c>
      <c r="H101" s="278" t="s">
        <v>9</v>
      </c>
      <c r="I101" s="120">
        <f t="shared" si="5"/>
        <v>0</v>
      </c>
      <c r="J101" s="278" t="s">
        <v>9</v>
      </c>
      <c r="K101" s="182"/>
      <c r="L101" s="282" t="s">
        <v>9</v>
      </c>
      <c r="M101" s="282" t="s">
        <v>9</v>
      </c>
      <c r="N101" s="279" t="s">
        <v>9</v>
      </c>
      <c r="O101" s="120">
        <f t="shared" si="6"/>
        <v>0</v>
      </c>
      <c r="P101" s="278" t="s">
        <v>9</v>
      </c>
      <c r="Q101" s="120">
        <f t="shared" si="7"/>
        <v>0</v>
      </c>
      <c r="R101" s="231" t="s">
        <v>9</v>
      </c>
      <c r="S101" s="71" t="s">
        <v>0</v>
      </c>
      <c r="T101">
        <v>83</v>
      </c>
      <c r="U101" s="333">
        <v>0.03262</v>
      </c>
      <c r="V101" s="333">
        <v>0.02217</v>
      </c>
      <c r="W101" s="333">
        <v>0.03259</v>
      </c>
      <c r="X101" s="334">
        <v>0.02083</v>
      </c>
      <c r="Y101" s="335">
        <v>0.04358</v>
      </c>
      <c r="Z101" s="335">
        <v>0.03722</v>
      </c>
      <c r="AA101" s="335">
        <v>0.03773</v>
      </c>
      <c r="AB101" s="336" t="str">
        <f>IF(Participant!$D$13="-","-",IF(I101&lt;&gt;0,I101*(1+HLOOKUP(Participant!$D$13,CF_Analysis!$U$18:$AA$118,CF_Analysis!T101+1,FALSE))^-T101,IF(ISNUMBER(J101),J101*(1+HLOOKUP(Participant!$D$13,CF_Analysis!$U$18:$AA$118,CF_Analysis!T101+1,FALSE))^-T101,"-")))</f>
        <v>-</v>
      </c>
      <c r="AC101">
        <v>83</v>
      </c>
      <c r="AD101" s="333">
        <v>0.02792</v>
      </c>
      <c r="AE101" s="333">
        <v>0.01747</v>
      </c>
      <c r="AF101" s="333">
        <v>0.02789</v>
      </c>
      <c r="AG101" s="333">
        <v>0.01613</v>
      </c>
      <c r="AH101" s="333">
        <v>0.03888</v>
      </c>
      <c r="AI101" s="333">
        <v>0.03252</v>
      </c>
      <c r="AJ101" s="333">
        <v>0.03303</v>
      </c>
      <c r="AK101" s="336" t="str">
        <f>IF(Participant!$D$13="-","-",IF(Q101&lt;&gt;0,Q101*(1+HLOOKUP(Participant!$D$13,$AD$18:$AJ$118,CF_Analysis!AC101+1,FALSE))^-AC101,IF(ISNUMBER(R101),R101*(1+HLOOKUP(Participant!$D$13,$AD$18:$AJ$118,CF_Analysis!AC101+1,FALSE))^-AC101,"-")))</f>
        <v>-</v>
      </c>
      <c r="AL101" s="71" t="s">
        <v>0</v>
      </c>
      <c r="AM101" s="51"/>
    </row>
    <row r="102" spans="3:39" ht="15" customHeight="1">
      <c r="C102" s="275">
        <v>84</v>
      </c>
      <c r="D102" s="282" t="s">
        <v>9</v>
      </c>
      <c r="E102" s="282" t="s">
        <v>9</v>
      </c>
      <c r="F102" s="279" t="s">
        <v>9</v>
      </c>
      <c r="G102" s="120">
        <f t="shared" si="4"/>
        <v>0</v>
      </c>
      <c r="H102" s="278" t="s">
        <v>9</v>
      </c>
      <c r="I102" s="120">
        <f t="shared" si="5"/>
        <v>0</v>
      </c>
      <c r="J102" s="278" t="s">
        <v>9</v>
      </c>
      <c r="K102" s="182"/>
      <c r="L102" s="282" t="s">
        <v>9</v>
      </c>
      <c r="M102" s="282" t="s">
        <v>9</v>
      </c>
      <c r="N102" s="279" t="s">
        <v>9</v>
      </c>
      <c r="O102" s="120">
        <f t="shared" si="6"/>
        <v>0</v>
      </c>
      <c r="P102" s="278" t="s">
        <v>9</v>
      </c>
      <c r="Q102" s="120">
        <f t="shared" si="7"/>
        <v>0</v>
      </c>
      <c r="R102" s="231" t="s">
        <v>9</v>
      </c>
      <c r="S102" s="71" t="s">
        <v>0</v>
      </c>
      <c r="T102">
        <v>84</v>
      </c>
      <c r="U102" s="333">
        <v>0.03273</v>
      </c>
      <c r="V102" s="333">
        <v>0.02228</v>
      </c>
      <c r="W102" s="333">
        <v>0.0327</v>
      </c>
      <c r="X102" s="334">
        <v>0.02108</v>
      </c>
      <c r="Y102" s="335">
        <v>0.04356</v>
      </c>
      <c r="Z102" s="335">
        <v>0.03728</v>
      </c>
      <c r="AA102" s="335">
        <v>0.03778</v>
      </c>
      <c r="AB102" s="336" t="str">
        <f>IF(Participant!$D$13="-","-",IF(I102&lt;&gt;0,I102*(1+HLOOKUP(Participant!$D$13,CF_Analysis!$U$18:$AA$118,CF_Analysis!T102+1,FALSE))^-T102,IF(ISNUMBER(J102),J102*(1+HLOOKUP(Participant!$D$13,CF_Analysis!$U$18:$AA$118,CF_Analysis!T102+1,FALSE))^-T102,"-")))</f>
        <v>-</v>
      </c>
      <c r="AC102">
        <v>84</v>
      </c>
      <c r="AD102" s="333">
        <v>0.02803</v>
      </c>
      <c r="AE102" s="333">
        <v>0.01758</v>
      </c>
      <c r="AF102" s="333">
        <v>0.028</v>
      </c>
      <c r="AG102" s="333">
        <v>0.01638</v>
      </c>
      <c r="AH102" s="333">
        <v>0.03886</v>
      </c>
      <c r="AI102" s="333">
        <v>0.03258</v>
      </c>
      <c r="AJ102" s="333">
        <v>0.03308</v>
      </c>
      <c r="AK102" s="336" t="str">
        <f>IF(Participant!$D$13="-","-",IF(Q102&lt;&gt;0,Q102*(1+HLOOKUP(Participant!$D$13,$AD$18:$AJ$118,CF_Analysis!AC102+1,FALSE))^-AC102,IF(ISNUMBER(R102),R102*(1+HLOOKUP(Participant!$D$13,$AD$18:$AJ$118,CF_Analysis!AC102+1,FALSE))^-AC102,"-")))</f>
        <v>-</v>
      </c>
      <c r="AL102" s="71" t="s">
        <v>0</v>
      </c>
      <c r="AM102" s="51"/>
    </row>
    <row r="103" spans="3:39" ht="15" customHeight="1">
      <c r="C103" s="274">
        <v>85</v>
      </c>
      <c r="D103" s="282" t="s">
        <v>9</v>
      </c>
      <c r="E103" s="282" t="s">
        <v>9</v>
      </c>
      <c r="F103" s="279" t="s">
        <v>9</v>
      </c>
      <c r="G103" s="120">
        <f t="shared" si="4"/>
        <v>0</v>
      </c>
      <c r="H103" s="278" t="s">
        <v>9</v>
      </c>
      <c r="I103" s="120">
        <f t="shared" si="5"/>
        <v>0</v>
      </c>
      <c r="J103" s="278" t="s">
        <v>9</v>
      </c>
      <c r="K103" s="182"/>
      <c r="L103" s="282" t="s">
        <v>9</v>
      </c>
      <c r="M103" s="282" t="s">
        <v>9</v>
      </c>
      <c r="N103" s="279" t="s">
        <v>9</v>
      </c>
      <c r="O103" s="120">
        <f t="shared" si="6"/>
        <v>0</v>
      </c>
      <c r="P103" s="278" t="s">
        <v>9</v>
      </c>
      <c r="Q103" s="120">
        <f t="shared" si="7"/>
        <v>0</v>
      </c>
      <c r="R103" s="231" t="s">
        <v>9</v>
      </c>
      <c r="S103" s="71" t="s">
        <v>0</v>
      </c>
      <c r="T103">
        <v>85</v>
      </c>
      <c r="U103" s="333">
        <v>0.03284</v>
      </c>
      <c r="V103" s="333">
        <v>0.0224</v>
      </c>
      <c r="W103" s="333">
        <v>0.03281</v>
      </c>
      <c r="X103" s="334">
        <v>0.02132</v>
      </c>
      <c r="Y103" s="335">
        <v>0.04354</v>
      </c>
      <c r="Z103" s="335">
        <v>0.03734</v>
      </c>
      <c r="AA103" s="335">
        <v>0.03783</v>
      </c>
      <c r="AB103" s="336" t="str">
        <f>IF(Participant!$D$13="-","-",IF(I103&lt;&gt;0,I103*(1+HLOOKUP(Participant!$D$13,CF_Analysis!$U$18:$AA$118,CF_Analysis!T103+1,FALSE))^-T103,IF(ISNUMBER(J103),J103*(1+HLOOKUP(Participant!$D$13,CF_Analysis!$U$18:$AA$118,CF_Analysis!T103+1,FALSE))^-T103,"-")))</f>
        <v>-</v>
      </c>
      <c r="AC103">
        <v>85</v>
      </c>
      <c r="AD103" s="333">
        <v>0.02814</v>
      </c>
      <c r="AE103" s="333">
        <v>0.0177</v>
      </c>
      <c r="AF103" s="333">
        <v>0.02811</v>
      </c>
      <c r="AG103" s="333">
        <v>0.01662</v>
      </c>
      <c r="AH103" s="333">
        <v>0.03884</v>
      </c>
      <c r="AI103" s="333">
        <v>0.03264</v>
      </c>
      <c r="AJ103" s="333">
        <v>0.03313</v>
      </c>
      <c r="AK103" s="336" t="str">
        <f>IF(Participant!$D$13="-","-",IF(Q103&lt;&gt;0,Q103*(1+HLOOKUP(Participant!$D$13,$AD$18:$AJ$118,CF_Analysis!AC103+1,FALSE))^-AC103,IF(ISNUMBER(R103),R103*(1+HLOOKUP(Participant!$D$13,$AD$18:$AJ$118,CF_Analysis!AC103+1,FALSE))^-AC103,"-")))</f>
        <v>-</v>
      </c>
      <c r="AL103" s="71" t="s">
        <v>0</v>
      </c>
      <c r="AM103" s="51"/>
    </row>
    <row r="104" spans="3:39" ht="15" customHeight="1">
      <c r="C104" s="275">
        <v>86</v>
      </c>
      <c r="D104" s="282" t="s">
        <v>9</v>
      </c>
      <c r="E104" s="282" t="s">
        <v>9</v>
      </c>
      <c r="F104" s="279" t="s">
        <v>9</v>
      </c>
      <c r="G104" s="120">
        <f t="shared" si="4"/>
        <v>0</v>
      </c>
      <c r="H104" s="278" t="s">
        <v>9</v>
      </c>
      <c r="I104" s="120">
        <f t="shared" si="5"/>
        <v>0</v>
      </c>
      <c r="J104" s="278" t="s">
        <v>9</v>
      </c>
      <c r="K104" s="182"/>
      <c r="L104" s="282" t="s">
        <v>9</v>
      </c>
      <c r="M104" s="282" t="s">
        <v>9</v>
      </c>
      <c r="N104" s="279" t="s">
        <v>9</v>
      </c>
      <c r="O104" s="120">
        <f t="shared" si="6"/>
        <v>0</v>
      </c>
      <c r="P104" s="278" t="s">
        <v>9</v>
      </c>
      <c r="Q104" s="120">
        <f t="shared" si="7"/>
        <v>0</v>
      </c>
      <c r="R104" s="231" t="s">
        <v>9</v>
      </c>
      <c r="S104" s="71" t="s">
        <v>0</v>
      </c>
      <c r="T104">
        <v>86</v>
      </c>
      <c r="U104" s="333">
        <v>0.03294</v>
      </c>
      <c r="V104" s="333">
        <v>0.02251</v>
      </c>
      <c r="W104" s="333">
        <v>0.03291</v>
      </c>
      <c r="X104" s="334">
        <v>0.02155</v>
      </c>
      <c r="Y104" s="335">
        <v>0.04352</v>
      </c>
      <c r="Z104" s="335">
        <v>0.03739</v>
      </c>
      <c r="AA104" s="335">
        <v>0.03788</v>
      </c>
      <c r="AB104" s="336" t="str">
        <f>IF(Participant!$D$13="-","-",IF(I104&lt;&gt;0,I104*(1+HLOOKUP(Participant!$D$13,CF_Analysis!$U$18:$AA$118,CF_Analysis!T104+1,FALSE))^-T104,IF(ISNUMBER(J104),J104*(1+HLOOKUP(Participant!$D$13,CF_Analysis!$U$18:$AA$118,CF_Analysis!T104+1,FALSE))^-T104,"-")))</f>
        <v>-</v>
      </c>
      <c r="AC104">
        <v>86</v>
      </c>
      <c r="AD104" s="333">
        <v>0.02824</v>
      </c>
      <c r="AE104" s="333">
        <v>0.01781</v>
      </c>
      <c r="AF104" s="333">
        <v>0.02821</v>
      </c>
      <c r="AG104" s="333">
        <v>0.01685</v>
      </c>
      <c r="AH104" s="333">
        <v>0.03882</v>
      </c>
      <c r="AI104" s="333">
        <v>0.03269</v>
      </c>
      <c r="AJ104" s="333">
        <v>0.03318</v>
      </c>
      <c r="AK104" s="336" t="str">
        <f>IF(Participant!$D$13="-","-",IF(Q104&lt;&gt;0,Q104*(1+HLOOKUP(Participant!$D$13,$AD$18:$AJ$118,CF_Analysis!AC104+1,FALSE))^-AC104,IF(ISNUMBER(R104),R104*(1+HLOOKUP(Participant!$D$13,$AD$18:$AJ$118,CF_Analysis!AC104+1,FALSE))^-AC104,"-")))</f>
        <v>-</v>
      </c>
      <c r="AL104" s="71" t="s">
        <v>0</v>
      </c>
      <c r="AM104" s="51"/>
    </row>
    <row r="105" spans="3:39" ht="15" customHeight="1">
      <c r="C105" s="274">
        <v>87</v>
      </c>
      <c r="D105" s="282" t="s">
        <v>9</v>
      </c>
      <c r="E105" s="282" t="s">
        <v>9</v>
      </c>
      <c r="F105" s="279" t="s">
        <v>9</v>
      </c>
      <c r="G105" s="120">
        <f t="shared" si="4"/>
        <v>0</v>
      </c>
      <c r="H105" s="278" t="s">
        <v>9</v>
      </c>
      <c r="I105" s="120">
        <f t="shared" si="5"/>
        <v>0</v>
      </c>
      <c r="J105" s="278" t="s">
        <v>9</v>
      </c>
      <c r="K105" s="182"/>
      <c r="L105" s="282" t="s">
        <v>9</v>
      </c>
      <c r="M105" s="282" t="s">
        <v>9</v>
      </c>
      <c r="N105" s="279" t="s">
        <v>9</v>
      </c>
      <c r="O105" s="120">
        <f t="shared" si="6"/>
        <v>0</v>
      </c>
      <c r="P105" s="278" t="s">
        <v>9</v>
      </c>
      <c r="Q105" s="120">
        <f t="shared" si="7"/>
        <v>0</v>
      </c>
      <c r="R105" s="231" t="s">
        <v>9</v>
      </c>
      <c r="S105" s="71" t="s">
        <v>0</v>
      </c>
      <c r="T105">
        <v>87</v>
      </c>
      <c r="U105" s="333">
        <v>0.03305</v>
      </c>
      <c r="V105" s="333">
        <v>0.02262</v>
      </c>
      <c r="W105" s="333">
        <v>0.03302</v>
      </c>
      <c r="X105" s="334">
        <v>0.02178</v>
      </c>
      <c r="Y105" s="335">
        <v>0.04351</v>
      </c>
      <c r="Z105" s="335">
        <v>0.03744</v>
      </c>
      <c r="AA105" s="335">
        <v>0.03793</v>
      </c>
      <c r="AB105" s="336" t="str">
        <f>IF(Participant!$D$13="-","-",IF(I105&lt;&gt;0,I105*(1+HLOOKUP(Participant!$D$13,CF_Analysis!$U$18:$AA$118,CF_Analysis!T105+1,FALSE))^-T105,IF(ISNUMBER(J105),J105*(1+HLOOKUP(Participant!$D$13,CF_Analysis!$U$18:$AA$118,CF_Analysis!T105+1,FALSE))^-T105,"-")))</f>
        <v>-</v>
      </c>
      <c r="AC105">
        <v>87</v>
      </c>
      <c r="AD105" s="333">
        <v>0.02835</v>
      </c>
      <c r="AE105" s="333">
        <v>0.01792</v>
      </c>
      <c r="AF105" s="333">
        <v>0.02832</v>
      </c>
      <c r="AG105" s="333">
        <v>0.01708</v>
      </c>
      <c r="AH105" s="333">
        <v>0.03881</v>
      </c>
      <c r="AI105" s="333">
        <v>0.03274</v>
      </c>
      <c r="AJ105" s="333">
        <v>0.03323</v>
      </c>
      <c r="AK105" s="336" t="str">
        <f>IF(Participant!$D$13="-","-",IF(Q105&lt;&gt;0,Q105*(1+HLOOKUP(Participant!$D$13,$AD$18:$AJ$118,CF_Analysis!AC105+1,FALSE))^-AC105,IF(ISNUMBER(R105),R105*(1+HLOOKUP(Participant!$D$13,$AD$18:$AJ$118,CF_Analysis!AC105+1,FALSE))^-AC105,"-")))</f>
        <v>-</v>
      </c>
      <c r="AL105" s="71" t="s">
        <v>0</v>
      </c>
      <c r="AM105" s="51"/>
    </row>
    <row r="106" spans="3:39" ht="15" customHeight="1">
      <c r="C106" s="275">
        <v>88</v>
      </c>
      <c r="D106" s="282" t="s">
        <v>9</v>
      </c>
      <c r="E106" s="282" t="s">
        <v>9</v>
      </c>
      <c r="F106" s="279" t="s">
        <v>9</v>
      </c>
      <c r="G106" s="120">
        <f t="shared" si="4"/>
        <v>0</v>
      </c>
      <c r="H106" s="278" t="s">
        <v>9</v>
      </c>
      <c r="I106" s="120">
        <f t="shared" si="5"/>
        <v>0</v>
      </c>
      <c r="J106" s="278" t="s">
        <v>9</v>
      </c>
      <c r="K106" s="182"/>
      <c r="L106" s="282" t="s">
        <v>9</v>
      </c>
      <c r="M106" s="282" t="s">
        <v>9</v>
      </c>
      <c r="N106" s="279" t="s">
        <v>9</v>
      </c>
      <c r="O106" s="120">
        <f t="shared" si="6"/>
        <v>0</v>
      </c>
      <c r="P106" s="278" t="s">
        <v>9</v>
      </c>
      <c r="Q106" s="120">
        <f t="shared" si="7"/>
        <v>0</v>
      </c>
      <c r="R106" s="231" t="s">
        <v>9</v>
      </c>
      <c r="S106" s="71" t="s">
        <v>0</v>
      </c>
      <c r="T106">
        <v>88</v>
      </c>
      <c r="U106" s="333">
        <v>0.03315</v>
      </c>
      <c r="V106" s="333">
        <v>0.02272</v>
      </c>
      <c r="W106" s="333">
        <v>0.03312</v>
      </c>
      <c r="X106" s="334">
        <v>0.02201</v>
      </c>
      <c r="Y106" s="335">
        <v>0.04349</v>
      </c>
      <c r="Z106" s="335">
        <v>0.03749</v>
      </c>
      <c r="AA106" s="335">
        <v>0.03797</v>
      </c>
      <c r="AB106" s="336" t="str">
        <f>IF(Participant!$D$13="-","-",IF(I106&lt;&gt;0,I106*(1+HLOOKUP(Participant!$D$13,CF_Analysis!$U$18:$AA$118,CF_Analysis!T106+1,FALSE))^-T106,IF(ISNUMBER(J106),J106*(1+HLOOKUP(Participant!$D$13,CF_Analysis!$U$18:$AA$118,CF_Analysis!T106+1,FALSE))^-T106,"-")))</f>
        <v>-</v>
      </c>
      <c r="AC106">
        <v>88</v>
      </c>
      <c r="AD106" s="333">
        <v>0.02845</v>
      </c>
      <c r="AE106" s="333">
        <v>0.01802</v>
      </c>
      <c r="AF106" s="333">
        <v>0.02842</v>
      </c>
      <c r="AG106" s="333">
        <v>0.01731</v>
      </c>
      <c r="AH106" s="333">
        <v>0.03879</v>
      </c>
      <c r="AI106" s="333">
        <v>0.03279</v>
      </c>
      <c r="AJ106" s="333">
        <v>0.03327</v>
      </c>
      <c r="AK106" s="336" t="str">
        <f>IF(Participant!$D$13="-","-",IF(Q106&lt;&gt;0,Q106*(1+HLOOKUP(Participant!$D$13,$AD$18:$AJ$118,CF_Analysis!AC106+1,FALSE))^-AC106,IF(ISNUMBER(R106),R106*(1+HLOOKUP(Participant!$D$13,$AD$18:$AJ$118,CF_Analysis!AC106+1,FALSE))^-AC106,"-")))</f>
        <v>-</v>
      </c>
      <c r="AL106" s="71" t="s">
        <v>0</v>
      </c>
      <c r="AM106" s="51"/>
    </row>
    <row r="107" spans="3:39" ht="15" customHeight="1">
      <c r="C107" s="274">
        <v>89</v>
      </c>
      <c r="D107" s="282" t="s">
        <v>9</v>
      </c>
      <c r="E107" s="282" t="s">
        <v>9</v>
      </c>
      <c r="F107" s="279" t="s">
        <v>9</v>
      </c>
      <c r="G107" s="120">
        <f t="shared" si="4"/>
        <v>0</v>
      </c>
      <c r="H107" s="278" t="s">
        <v>9</v>
      </c>
      <c r="I107" s="120">
        <f t="shared" si="5"/>
        <v>0</v>
      </c>
      <c r="J107" s="278" t="s">
        <v>9</v>
      </c>
      <c r="K107" s="182"/>
      <c r="L107" s="282" t="s">
        <v>9</v>
      </c>
      <c r="M107" s="282" t="s">
        <v>9</v>
      </c>
      <c r="N107" s="279" t="s">
        <v>9</v>
      </c>
      <c r="O107" s="120">
        <f t="shared" si="6"/>
        <v>0</v>
      </c>
      <c r="P107" s="278" t="s">
        <v>9</v>
      </c>
      <c r="Q107" s="120">
        <f t="shared" si="7"/>
        <v>0</v>
      </c>
      <c r="R107" s="231" t="s">
        <v>9</v>
      </c>
      <c r="S107" s="71" t="s">
        <v>0</v>
      </c>
      <c r="T107">
        <v>89</v>
      </c>
      <c r="U107" s="333">
        <v>0.03325</v>
      </c>
      <c r="V107" s="333">
        <v>0.02283</v>
      </c>
      <c r="W107" s="333">
        <v>0.03322</v>
      </c>
      <c r="X107" s="334">
        <v>0.02223</v>
      </c>
      <c r="Y107" s="335">
        <v>0.04347</v>
      </c>
      <c r="Z107" s="335">
        <v>0.03755</v>
      </c>
      <c r="AA107" s="335">
        <v>0.03802</v>
      </c>
      <c r="AB107" s="336" t="str">
        <f>IF(Participant!$D$13="-","-",IF(I107&lt;&gt;0,I107*(1+HLOOKUP(Participant!$D$13,CF_Analysis!$U$18:$AA$118,CF_Analysis!T107+1,FALSE))^-T107,IF(ISNUMBER(J107),J107*(1+HLOOKUP(Participant!$D$13,CF_Analysis!$U$18:$AA$118,CF_Analysis!T107+1,FALSE))^-T107,"-")))</f>
        <v>-</v>
      </c>
      <c r="AC107">
        <v>89</v>
      </c>
      <c r="AD107" s="333">
        <v>0.02855</v>
      </c>
      <c r="AE107" s="333">
        <v>0.01813</v>
      </c>
      <c r="AF107" s="333">
        <v>0.02852</v>
      </c>
      <c r="AG107" s="333">
        <v>0.01753</v>
      </c>
      <c r="AH107" s="333">
        <v>0.03877</v>
      </c>
      <c r="AI107" s="333">
        <v>0.03285</v>
      </c>
      <c r="AJ107" s="333">
        <v>0.03332</v>
      </c>
      <c r="AK107" s="336" t="str">
        <f>IF(Participant!$D$13="-","-",IF(Q107&lt;&gt;0,Q107*(1+HLOOKUP(Participant!$D$13,$AD$18:$AJ$118,CF_Analysis!AC107+1,FALSE))^-AC107,IF(ISNUMBER(R107),R107*(1+HLOOKUP(Participant!$D$13,$AD$18:$AJ$118,CF_Analysis!AC107+1,FALSE))^-AC107,"-")))</f>
        <v>-</v>
      </c>
      <c r="AL107" s="71" t="s">
        <v>0</v>
      </c>
      <c r="AM107" s="51"/>
    </row>
    <row r="108" spans="3:39" ht="15" customHeight="1">
      <c r="C108" s="275">
        <v>90</v>
      </c>
      <c r="D108" s="282" t="s">
        <v>9</v>
      </c>
      <c r="E108" s="282" t="s">
        <v>9</v>
      </c>
      <c r="F108" s="279" t="s">
        <v>9</v>
      </c>
      <c r="G108" s="120">
        <f t="shared" si="4"/>
        <v>0</v>
      </c>
      <c r="H108" s="278" t="s">
        <v>9</v>
      </c>
      <c r="I108" s="120">
        <f t="shared" si="5"/>
        <v>0</v>
      </c>
      <c r="J108" s="278" t="s">
        <v>9</v>
      </c>
      <c r="K108" s="182"/>
      <c r="L108" s="282" t="s">
        <v>9</v>
      </c>
      <c r="M108" s="282" t="s">
        <v>9</v>
      </c>
      <c r="N108" s="279" t="s">
        <v>9</v>
      </c>
      <c r="O108" s="120">
        <f t="shared" si="6"/>
        <v>0</v>
      </c>
      <c r="P108" s="278" t="s">
        <v>9</v>
      </c>
      <c r="Q108" s="120">
        <f t="shared" si="7"/>
        <v>0</v>
      </c>
      <c r="R108" s="231" t="s">
        <v>9</v>
      </c>
      <c r="S108" s="71" t="s">
        <v>0</v>
      </c>
      <c r="T108">
        <v>90</v>
      </c>
      <c r="U108" s="333">
        <v>0.03334</v>
      </c>
      <c r="V108" s="333">
        <v>0.02293</v>
      </c>
      <c r="W108" s="333">
        <v>0.03332</v>
      </c>
      <c r="X108" s="334">
        <v>0.02245</v>
      </c>
      <c r="Y108" s="335">
        <v>0.04346</v>
      </c>
      <c r="Z108" s="335">
        <v>0.03759</v>
      </c>
      <c r="AA108" s="335">
        <v>0.03806</v>
      </c>
      <c r="AB108" s="336" t="str">
        <f>IF(Participant!$D$13="-","-",IF(I108&lt;&gt;0,I108*(1+HLOOKUP(Participant!$D$13,CF_Analysis!$U$18:$AA$118,CF_Analysis!T108+1,FALSE))^-T108,IF(ISNUMBER(J108),J108*(1+HLOOKUP(Participant!$D$13,CF_Analysis!$U$18:$AA$118,CF_Analysis!T108+1,FALSE))^-T108,"-")))</f>
        <v>-</v>
      </c>
      <c r="AC108">
        <v>90</v>
      </c>
      <c r="AD108" s="333">
        <v>0.02864</v>
      </c>
      <c r="AE108" s="333">
        <v>0.01823</v>
      </c>
      <c r="AF108" s="333">
        <v>0.02862</v>
      </c>
      <c r="AG108" s="333">
        <v>0.01775</v>
      </c>
      <c r="AH108" s="333">
        <v>0.03876</v>
      </c>
      <c r="AI108" s="333">
        <v>0.03289</v>
      </c>
      <c r="AJ108" s="333">
        <v>0.03336</v>
      </c>
      <c r="AK108" s="336" t="str">
        <f>IF(Participant!$D$13="-","-",IF(Q108&lt;&gt;0,Q108*(1+HLOOKUP(Participant!$D$13,$AD$18:$AJ$118,CF_Analysis!AC108+1,FALSE))^-AC108,IF(ISNUMBER(R108),R108*(1+HLOOKUP(Participant!$D$13,$AD$18:$AJ$118,CF_Analysis!AC108+1,FALSE))^-AC108,"-")))</f>
        <v>-</v>
      </c>
      <c r="AL108" s="71" t="s">
        <v>0</v>
      </c>
      <c r="AM108" s="51"/>
    </row>
    <row r="109" spans="3:39" ht="15" customHeight="1">
      <c r="C109" s="274">
        <v>91</v>
      </c>
      <c r="D109" s="282" t="s">
        <v>9</v>
      </c>
      <c r="E109" s="282" t="s">
        <v>9</v>
      </c>
      <c r="F109" s="279" t="s">
        <v>9</v>
      </c>
      <c r="G109" s="120">
        <f t="shared" si="4"/>
        <v>0</v>
      </c>
      <c r="H109" s="278" t="s">
        <v>9</v>
      </c>
      <c r="I109" s="120">
        <f t="shared" si="5"/>
        <v>0</v>
      </c>
      <c r="J109" s="278" t="s">
        <v>9</v>
      </c>
      <c r="K109" s="182"/>
      <c r="L109" s="282" t="s">
        <v>9</v>
      </c>
      <c r="M109" s="282" t="s">
        <v>9</v>
      </c>
      <c r="N109" s="279" t="s">
        <v>9</v>
      </c>
      <c r="O109" s="120">
        <f t="shared" si="6"/>
        <v>0</v>
      </c>
      <c r="P109" s="278" t="s">
        <v>9</v>
      </c>
      <c r="Q109" s="120">
        <f t="shared" si="7"/>
        <v>0</v>
      </c>
      <c r="R109" s="231" t="s">
        <v>9</v>
      </c>
      <c r="S109" s="71" t="s">
        <v>0</v>
      </c>
      <c r="T109">
        <v>91</v>
      </c>
      <c r="U109" s="333">
        <v>0.03344</v>
      </c>
      <c r="V109" s="333">
        <v>0.02303</v>
      </c>
      <c r="W109" s="333">
        <v>0.03341</v>
      </c>
      <c r="X109" s="334">
        <v>0.02266</v>
      </c>
      <c r="Y109" s="335">
        <v>0.04344</v>
      </c>
      <c r="Z109" s="335">
        <v>0.03764</v>
      </c>
      <c r="AA109" s="335">
        <v>0.03811</v>
      </c>
      <c r="AB109" s="336" t="str">
        <f>IF(Participant!$D$13="-","-",IF(I109&lt;&gt;0,I109*(1+HLOOKUP(Participant!$D$13,CF_Analysis!$U$18:$AA$118,CF_Analysis!T109+1,FALSE))^-T109,IF(ISNUMBER(J109),J109*(1+HLOOKUP(Participant!$D$13,CF_Analysis!$U$18:$AA$118,CF_Analysis!T109+1,FALSE))^-T109,"-")))</f>
        <v>-</v>
      </c>
      <c r="AC109">
        <v>91</v>
      </c>
      <c r="AD109" s="333">
        <v>0.02874</v>
      </c>
      <c r="AE109" s="333">
        <v>0.01833</v>
      </c>
      <c r="AF109" s="333">
        <v>0.02871</v>
      </c>
      <c r="AG109" s="333">
        <v>0.01796</v>
      </c>
      <c r="AH109" s="333">
        <v>0.03874</v>
      </c>
      <c r="AI109" s="333">
        <v>0.03294</v>
      </c>
      <c r="AJ109" s="333">
        <v>0.03341</v>
      </c>
      <c r="AK109" s="336" t="str">
        <f>IF(Participant!$D$13="-","-",IF(Q109&lt;&gt;0,Q109*(1+HLOOKUP(Participant!$D$13,$AD$18:$AJ$118,CF_Analysis!AC109+1,FALSE))^-AC109,IF(ISNUMBER(R109),R109*(1+HLOOKUP(Participant!$D$13,$AD$18:$AJ$118,CF_Analysis!AC109+1,FALSE))^-AC109,"-")))</f>
        <v>-</v>
      </c>
      <c r="AL109" s="71" t="s">
        <v>0</v>
      </c>
      <c r="AM109" s="51"/>
    </row>
    <row r="110" spans="3:39" ht="15" customHeight="1">
      <c r="C110" s="275">
        <v>92</v>
      </c>
      <c r="D110" s="282" t="s">
        <v>9</v>
      </c>
      <c r="E110" s="282" t="s">
        <v>9</v>
      </c>
      <c r="F110" s="279" t="s">
        <v>9</v>
      </c>
      <c r="G110" s="120">
        <f t="shared" si="4"/>
        <v>0</v>
      </c>
      <c r="H110" s="278" t="s">
        <v>9</v>
      </c>
      <c r="I110" s="120">
        <f t="shared" si="5"/>
        <v>0</v>
      </c>
      <c r="J110" s="278" t="s">
        <v>9</v>
      </c>
      <c r="K110" s="182"/>
      <c r="L110" s="282" t="s">
        <v>9</v>
      </c>
      <c r="M110" s="282" t="s">
        <v>9</v>
      </c>
      <c r="N110" s="279" t="s">
        <v>9</v>
      </c>
      <c r="O110" s="120">
        <f t="shared" si="6"/>
        <v>0</v>
      </c>
      <c r="P110" s="278" t="s">
        <v>9</v>
      </c>
      <c r="Q110" s="120">
        <f t="shared" si="7"/>
        <v>0</v>
      </c>
      <c r="R110" s="231" t="s">
        <v>9</v>
      </c>
      <c r="S110" s="71" t="s">
        <v>0</v>
      </c>
      <c r="T110">
        <v>92</v>
      </c>
      <c r="U110" s="333">
        <v>0.03353</v>
      </c>
      <c r="V110" s="333">
        <v>0.02312</v>
      </c>
      <c r="W110" s="333">
        <v>0.0335</v>
      </c>
      <c r="X110" s="334">
        <v>0.02287</v>
      </c>
      <c r="Y110" s="335">
        <v>0.04342</v>
      </c>
      <c r="Z110" s="335">
        <v>0.03769</v>
      </c>
      <c r="AA110" s="335">
        <v>0.03815</v>
      </c>
      <c r="AB110" s="336" t="str">
        <f>IF(Participant!$D$13="-","-",IF(I110&lt;&gt;0,I110*(1+HLOOKUP(Participant!$D$13,CF_Analysis!$U$18:$AA$118,CF_Analysis!T110+1,FALSE))^-T110,IF(ISNUMBER(J110),J110*(1+HLOOKUP(Participant!$D$13,CF_Analysis!$U$18:$AA$118,CF_Analysis!T110+1,FALSE))^-T110,"-")))</f>
        <v>-</v>
      </c>
      <c r="AC110">
        <v>92</v>
      </c>
      <c r="AD110" s="333">
        <v>0.02883</v>
      </c>
      <c r="AE110" s="333">
        <v>0.01842</v>
      </c>
      <c r="AF110" s="333">
        <v>0.0288</v>
      </c>
      <c r="AG110" s="333">
        <v>0.01817</v>
      </c>
      <c r="AH110" s="333">
        <v>0.03872</v>
      </c>
      <c r="AI110" s="333">
        <v>0.03299</v>
      </c>
      <c r="AJ110" s="333">
        <v>0.03345</v>
      </c>
      <c r="AK110" s="336" t="str">
        <f>IF(Participant!$D$13="-","-",IF(Q110&lt;&gt;0,Q110*(1+HLOOKUP(Participant!$D$13,$AD$18:$AJ$118,CF_Analysis!AC110+1,FALSE))^-AC110,IF(ISNUMBER(R110),R110*(1+HLOOKUP(Participant!$D$13,$AD$18:$AJ$118,CF_Analysis!AC110+1,FALSE))^-AC110,"-")))</f>
        <v>-</v>
      </c>
      <c r="AL110" s="71" t="s">
        <v>0</v>
      </c>
      <c r="AM110" s="51"/>
    </row>
    <row r="111" spans="3:39" ht="15" customHeight="1">
      <c r="C111" s="274">
        <v>93</v>
      </c>
      <c r="D111" s="282" t="s">
        <v>9</v>
      </c>
      <c r="E111" s="282" t="s">
        <v>9</v>
      </c>
      <c r="F111" s="279" t="s">
        <v>9</v>
      </c>
      <c r="G111" s="120">
        <f t="shared" si="4"/>
        <v>0</v>
      </c>
      <c r="H111" s="278" t="s">
        <v>9</v>
      </c>
      <c r="I111" s="120">
        <f t="shared" si="5"/>
        <v>0</v>
      </c>
      <c r="J111" s="278" t="s">
        <v>9</v>
      </c>
      <c r="K111" s="182"/>
      <c r="L111" s="282" t="s">
        <v>9</v>
      </c>
      <c r="M111" s="282" t="s">
        <v>9</v>
      </c>
      <c r="N111" s="279" t="s">
        <v>9</v>
      </c>
      <c r="O111" s="120">
        <f t="shared" si="6"/>
        <v>0</v>
      </c>
      <c r="P111" s="278" t="s">
        <v>9</v>
      </c>
      <c r="Q111" s="120">
        <f t="shared" si="7"/>
        <v>0</v>
      </c>
      <c r="R111" s="231" t="s">
        <v>9</v>
      </c>
      <c r="S111" s="71" t="s">
        <v>0</v>
      </c>
      <c r="T111">
        <v>93</v>
      </c>
      <c r="U111" s="333">
        <v>0.03362</v>
      </c>
      <c r="V111" s="333">
        <v>0.02322</v>
      </c>
      <c r="W111" s="333">
        <v>0.03359</v>
      </c>
      <c r="X111" s="334">
        <v>0.02307</v>
      </c>
      <c r="Y111" s="335">
        <v>0.04341</v>
      </c>
      <c r="Z111" s="335">
        <v>0.03774</v>
      </c>
      <c r="AA111" s="335">
        <v>0.03819</v>
      </c>
      <c r="AB111" s="336" t="str">
        <f>IF(Participant!$D$13="-","-",IF(I111&lt;&gt;0,I111*(1+HLOOKUP(Participant!$D$13,CF_Analysis!$U$18:$AA$118,CF_Analysis!T111+1,FALSE))^-T111,IF(ISNUMBER(J111),J111*(1+HLOOKUP(Participant!$D$13,CF_Analysis!$U$18:$AA$118,CF_Analysis!T111+1,FALSE))^-T111,"-")))</f>
        <v>-</v>
      </c>
      <c r="AC111">
        <v>93</v>
      </c>
      <c r="AD111" s="333">
        <v>0.02892</v>
      </c>
      <c r="AE111" s="333">
        <v>0.01852</v>
      </c>
      <c r="AF111" s="333">
        <v>0.02889</v>
      </c>
      <c r="AG111" s="333">
        <v>0.01837</v>
      </c>
      <c r="AH111" s="333">
        <v>0.03871</v>
      </c>
      <c r="AI111" s="333">
        <v>0.03304</v>
      </c>
      <c r="AJ111" s="333">
        <v>0.03349</v>
      </c>
      <c r="AK111" s="336" t="str">
        <f>IF(Participant!$D$13="-","-",IF(Q111&lt;&gt;0,Q111*(1+HLOOKUP(Participant!$D$13,$AD$18:$AJ$118,CF_Analysis!AC111+1,FALSE))^-AC111,IF(ISNUMBER(R111),R111*(1+HLOOKUP(Participant!$D$13,$AD$18:$AJ$118,CF_Analysis!AC111+1,FALSE))^-AC111,"-")))</f>
        <v>-</v>
      </c>
      <c r="AL111" s="71" t="s">
        <v>0</v>
      </c>
      <c r="AM111" s="51"/>
    </row>
    <row r="112" spans="3:39" ht="15" customHeight="1">
      <c r="C112" s="275">
        <v>94</v>
      </c>
      <c r="D112" s="282" t="s">
        <v>9</v>
      </c>
      <c r="E112" s="282" t="s">
        <v>9</v>
      </c>
      <c r="F112" s="279" t="s">
        <v>9</v>
      </c>
      <c r="G112" s="120">
        <f t="shared" si="4"/>
        <v>0</v>
      </c>
      <c r="H112" s="278" t="s">
        <v>9</v>
      </c>
      <c r="I112" s="120">
        <f t="shared" si="5"/>
        <v>0</v>
      </c>
      <c r="J112" s="278" t="s">
        <v>9</v>
      </c>
      <c r="K112" s="182"/>
      <c r="L112" s="282" t="s">
        <v>9</v>
      </c>
      <c r="M112" s="282" t="s">
        <v>9</v>
      </c>
      <c r="N112" s="279" t="s">
        <v>9</v>
      </c>
      <c r="O112" s="120">
        <f t="shared" si="6"/>
        <v>0</v>
      </c>
      <c r="P112" s="278" t="s">
        <v>9</v>
      </c>
      <c r="Q112" s="120">
        <f t="shared" si="7"/>
        <v>0</v>
      </c>
      <c r="R112" s="231" t="s">
        <v>9</v>
      </c>
      <c r="S112" s="71" t="s">
        <v>0</v>
      </c>
      <c r="T112">
        <v>94</v>
      </c>
      <c r="U112" s="333">
        <v>0.03371</v>
      </c>
      <c r="V112" s="333">
        <v>0.02331</v>
      </c>
      <c r="W112" s="333">
        <v>0.03368</v>
      </c>
      <c r="X112" s="334">
        <v>0.02327</v>
      </c>
      <c r="Y112" s="335">
        <v>0.04339</v>
      </c>
      <c r="Z112" s="335">
        <v>0.03778</v>
      </c>
      <c r="AA112" s="335">
        <v>0.03823</v>
      </c>
      <c r="AB112" s="336" t="str">
        <f>IF(Participant!$D$13="-","-",IF(I112&lt;&gt;0,I112*(1+HLOOKUP(Participant!$D$13,CF_Analysis!$U$18:$AA$118,CF_Analysis!T112+1,FALSE))^-T112,IF(ISNUMBER(J112),J112*(1+HLOOKUP(Participant!$D$13,CF_Analysis!$U$18:$AA$118,CF_Analysis!T112+1,FALSE))^-T112,"-")))</f>
        <v>-</v>
      </c>
      <c r="AC112">
        <v>94</v>
      </c>
      <c r="AD112" s="333">
        <v>0.02901</v>
      </c>
      <c r="AE112" s="333">
        <v>0.01861</v>
      </c>
      <c r="AF112" s="333">
        <v>0.02898</v>
      </c>
      <c r="AG112" s="333">
        <v>0.01857</v>
      </c>
      <c r="AH112" s="333">
        <v>0.03869</v>
      </c>
      <c r="AI112" s="333">
        <v>0.03308</v>
      </c>
      <c r="AJ112" s="333">
        <v>0.03353</v>
      </c>
      <c r="AK112" s="336" t="str">
        <f>IF(Participant!$D$13="-","-",IF(Q112&lt;&gt;0,Q112*(1+HLOOKUP(Participant!$D$13,$AD$18:$AJ$118,CF_Analysis!AC112+1,FALSE))^-AC112,IF(ISNUMBER(R112),R112*(1+HLOOKUP(Participant!$D$13,$AD$18:$AJ$118,CF_Analysis!AC112+1,FALSE))^-AC112,"-")))</f>
        <v>-</v>
      </c>
      <c r="AL112" s="71" t="s">
        <v>0</v>
      </c>
      <c r="AM112" s="51"/>
    </row>
    <row r="113" spans="3:39" ht="15" customHeight="1">
      <c r="C113" s="274">
        <v>95</v>
      </c>
      <c r="D113" s="282" t="s">
        <v>9</v>
      </c>
      <c r="E113" s="282" t="s">
        <v>9</v>
      </c>
      <c r="F113" s="279" t="s">
        <v>9</v>
      </c>
      <c r="G113" s="120">
        <f t="shared" si="4"/>
        <v>0</v>
      </c>
      <c r="H113" s="278" t="s">
        <v>9</v>
      </c>
      <c r="I113" s="120">
        <f t="shared" si="5"/>
        <v>0</v>
      </c>
      <c r="J113" s="278" t="s">
        <v>9</v>
      </c>
      <c r="K113" s="182"/>
      <c r="L113" s="282" t="s">
        <v>9</v>
      </c>
      <c r="M113" s="282" t="s">
        <v>9</v>
      </c>
      <c r="N113" s="279" t="s">
        <v>9</v>
      </c>
      <c r="O113" s="120">
        <f t="shared" si="6"/>
        <v>0</v>
      </c>
      <c r="P113" s="278" t="s">
        <v>9</v>
      </c>
      <c r="Q113" s="120">
        <f t="shared" si="7"/>
        <v>0</v>
      </c>
      <c r="R113" s="231" t="s">
        <v>9</v>
      </c>
      <c r="S113" s="71" t="s">
        <v>0</v>
      </c>
      <c r="T113">
        <v>95</v>
      </c>
      <c r="U113" s="333">
        <v>0.0338</v>
      </c>
      <c r="V113" s="333">
        <v>0.0234</v>
      </c>
      <c r="W113" s="333">
        <v>0.03377</v>
      </c>
      <c r="X113" s="334">
        <v>0.02346</v>
      </c>
      <c r="Y113" s="335">
        <v>0.04338</v>
      </c>
      <c r="Z113" s="335">
        <v>0.03783</v>
      </c>
      <c r="AA113" s="335">
        <v>0.03827</v>
      </c>
      <c r="AB113" s="336" t="str">
        <f>IF(Participant!$D$13="-","-",IF(I113&lt;&gt;0,I113*(1+HLOOKUP(Participant!$D$13,CF_Analysis!$U$18:$AA$118,CF_Analysis!T113+1,FALSE))^-T113,IF(ISNUMBER(J113),J113*(1+HLOOKUP(Participant!$D$13,CF_Analysis!$U$18:$AA$118,CF_Analysis!T113+1,FALSE))^-T113,"-")))</f>
        <v>-</v>
      </c>
      <c r="AC113">
        <v>95</v>
      </c>
      <c r="AD113" s="333">
        <v>0.0291</v>
      </c>
      <c r="AE113" s="333">
        <v>0.0187</v>
      </c>
      <c r="AF113" s="333">
        <v>0.02907</v>
      </c>
      <c r="AG113" s="333">
        <v>0.01876</v>
      </c>
      <c r="AH113" s="333">
        <v>0.03868</v>
      </c>
      <c r="AI113" s="333">
        <v>0.03313</v>
      </c>
      <c r="AJ113" s="333">
        <v>0.03357</v>
      </c>
      <c r="AK113" s="336" t="str">
        <f>IF(Participant!$D$13="-","-",IF(Q113&lt;&gt;0,Q113*(1+HLOOKUP(Participant!$D$13,$AD$18:$AJ$118,CF_Analysis!AC113+1,FALSE))^-AC113,IF(ISNUMBER(R113),R113*(1+HLOOKUP(Participant!$D$13,$AD$18:$AJ$118,CF_Analysis!AC113+1,FALSE))^-AC113,"-")))</f>
        <v>-</v>
      </c>
      <c r="AL113" s="71" t="s">
        <v>0</v>
      </c>
      <c r="AM113" s="51"/>
    </row>
    <row r="114" spans="3:39" ht="15" customHeight="1">
      <c r="C114" s="275">
        <v>96</v>
      </c>
      <c r="D114" s="282" t="s">
        <v>9</v>
      </c>
      <c r="E114" s="282" t="s">
        <v>9</v>
      </c>
      <c r="F114" s="279" t="s">
        <v>9</v>
      </c>
      <c r="G114" s="120">
        <f t="shared" si="4"/>
        <v>0</v>
      </c>
      <c r="H114" s="278" t="s">
        <v>9</v>
      </c>
      <c r="I114" s="120">
        <f t="shared" si="5"/>
        <v>0</v>
      </c>
      <c r="J114" s="278" t="s">
        <v>9</v>
      </c>
      <c r="K114" s="182"/>
      <c r="L114" s="282" t="s">
        <v>9</v>
      </c>
      <c r="M114" s="282" t="s">
        <v>9</v>
      </c>
      <c r="N114" s="279" t="s">
        <v>9</v>
      </c>
      <c r="O114" s="120">
        <f t="shared" si="6"/>
        <v>0</v>
      </c>
      <c r="P114" s="278" t="s">
        <v>9</v>
      </c>
      <c r="Q114" s="120">
        <f t="shared" si="7"/>
        <v>0</v>
      </c>
      <c r="R114" s="231" t="s">
        <v>9</v>
      </c>
      <c r="S114" s="71" t="s">
        <v>0</v>
      </c>
      <c r="T114">
        <v>96</v>
      </c>
      <c r="U114" s="333">
        <v>0.03388</v>
      </c>
      <c r="V114" s="333">
        <v>0.02349</v>
      </c>
      <c r="W114" s="333">
        <v>0.03386</v>
      </c>
      <c r="X114" s="334">
        <v>0.02365</v>
      </c>
      <c r="Y114" s="335">
        <v>0.04337</v>
      </c>
      <c r="Z114" s="335">
        <v>0.03787</v>
      </c>
      <c r="AA114" s="335">
        <v>0.03831</v>
      </c>
      <c r="AB114" s="336" t="str">
        <f>IF(Participant!$D$13="-","-",IF(I114&lt;&gt;0,I114*(1+HLOOKUP(Participant!$D$13,CF_Analysis!$U$18:$AA$118,CF_Analysis!T114+1,FALSE))^-T114,IF(ISNUMBER(J114),J114*(1+HLOOKUP(Participant!$D$13,CF_Analysis!$U$18:$AA$118,CF_Analysis!T114+1,FALSE))^-T114,"-")))</f>
        <v>-</v>
      </c>
      <c r="AC114">
        <v>96</v>
      </c>
      <c r="AD114" s="333">
        <v>0.02918</v>
      </c>
      <c r="AE114" s="333">
        <v>0.01879</v>
      </c>
      <c r="AF114" s="333">
        <v>0.02916</v>
      </c>
      <c r="AG114" s="333">
        <v>0.01895</v>
      </c>
      <c r="AH114" s="333">
        <v>0.03867</v>
      </c>
      <c r="AI114" s="333">
        <v>0.03317</v>
      </c>
      <c r="AJ114" s="333">
        <v>0.03361</v>
      </c>
      <c r="AK114" s="336" t="str">
        <f>IF(Participant!$D$13="-","-",IF(Q114&lt;&gt;0,Q114*(1+HLOOKUP(Participant!$D$13,$AD$18:$AJ$118,CF_Analysis!AC114+1,FALSE))^-AC114,IF(ISNUMBER(R114),R114*(1+HLOOKUP(Participant!$D$13,$AD$18:$AJ$118,CF_Analysis!AC114+1,FALSE))^-AC114,"-")))</f>
        <v>-</v>
      </c>
      <c r="AL114" s="71" t="s">
        <v>0</v>
      </c>
      <c r="AM114" s="51"/>
    </row>
    <row r="115" spans="3:39" ht="15" customHeight="1">
      <c r="C115" s="274">
        <v>97</v>
      </c>
      <c r="D115" s="282" t="s">
        <v>9</v>
      </c>
      <c r="E115" s="282" t="s">
        <v>9</v>
      </c>
      <c r="F115" s="279" t="s">
        <v>9</v>
      </c>
      <c r="G115" s="120">
        <f t="shared" si="4"/>
        <v>0</v>
      </c>
      <c r="H115" s="278" t="s">
        <v>9</v>
      </c>
      <c r="I115" s="120">
        <f t="shared" si="5"/>
        <v>0</v>
      </c>
      <c r="J115" s="278" t="s">
        <v>9</v>
      </c>
      <c r="K115" s="182"/>
      <c r="L115" s="282" t="s">
        <v>9</v>
      </c>
      <c r="M115" s="282" t="s">
        <v>9</v>
      </c>
      <c r="N115" s="279" t="s">
        <v>9</v>
      </c>
      <c r="O115" s="120">
        <f t="shared" si="6"/>
        <v>0</v>
      </c>
      <c r="P115" s="278" t="s">
        <v>9</v>
      </c>
      <c r="Q115" s="120">
        <f t="shared" si="7"/>
        <v>0</v>
      </c>
      <c r="R115" s="231" t="s">
        <v>9</v>
      </c>
      <c r="S115" s="71" t="s">
        <v>0</v>
      </c>
      <c r="T115">
        <v>97</v>
      </c>
      <c r="U115" s="333">
        <v>0.03397</v>
      </c>
      <c r="V115" s="333">
        <v>0.02358</v>
      </c>
      <c r="W115" s="333">
        <v>0.03394</v>
      </c>
      <c r="X115" s="334">
        <v>0.02384</v>
      </c>
      <c r="Y115" s="335">
        <v>0.04335</v>
      </c>
      <c r="Z115" s="335">
        <v>0.03791</v>
      </c>
      <c r="AA115" s="335">
        <v>0.03835</v>
      </c>
      <c r="AB115" s="336" t="str">
        <f>IF(Participant!$D$13="-","-",IF(I115&lt;&gt;0,I115*(1+HLOOKUP(Participant!$D$13,CF_Analysis!$U$18:$AA$118,CF_Analysis!T115+1,FALSE))^-T115,IF(ISNUMBER(J115),J115*(1+HLOOKUP(Participant!$D$13,CF_Analysis!$U$18:$AA$118,CF_Analysis!T115+1,FALSE))^-T115,"-")))</f>
        <v>-</v>
      </c>
      <c r="AC115">
        <v>97</v>
      </c>
      <c r="AD115" s="333">
        <v>0.02927</v>
      </c>
      <c r="AE115" s="333">
        <v>0.01888</v>
      </c>
      <c r="AF115" s="333">
        <v>0.02924</v>
      </c>
      <c r="AG115" s="333">
        <v>0.01914</v>
      </c>
      <c r="AH115" s="333">
        <v>0.03865</v>
      </c>
      <c r="AI115" s="333">
        <v>0.03321</v>
      </c>
      <c r="AJ115" s="333">
        <v>0.03365</v>
      </c>
      <c r="AK115" s="336" t="str">
        <f>IF(Participant!$D$13="-","-",IF(Q115&lt;&gt;0,Q115*(1+HLOOKUP(Participant!$D$13,$AD$18:$AJ$118,CF_Analysis!AC115+1,FALSE))^-AC115,IF(ISNUMBER(R115),R115*(1+HLOOKUP(Participant!$D$13,$AD$18:$AJ$118,CF_Analysis!AC115+1,FALSE))^-AC115,"-")))</f>
        <v>-</v>
      </c>
      <c r="AL115" s="71" t="s">
        <v>0</v>
      </c>
      <c r="AM115" s="51"/>
    </row>
    <row r="116" spans="3:39" ht="15" customHeight="1">
      <c r="C116" s="275">
        <v>98</v>
      </c>
      <c r="D116" s="282" t="s">
        <v>9</v>
      </c>
      <c r="E116" s="282" t="s">
        <v>9</v>
      </c>
      <c r="F116" s="279" t="s">
        <v>9</v>
      </c>
      <c r="G116" s="120">
        <f t="shared" si="4"/>
        <v>0</v>
      </c>
      <c r="H116" s="278" t="s">
        <v>9</v>
      </c>
      <c r="I116" s="120">
        <f t="shared" si="5"/>
        <v>0</v>
      </c>
      <c r="J116" s="278" t="s">
        <v>9</v>
      </c>
      <c r="K116" s="182"/>
      <c r="L116" s="282" t="s">
        <v>9</v>
      </c>
      <c r="M116" s="282" t="s">
        <v>9</v>
      </c>
      <c r="N116" s="279" t="s">
        <v>9</v>
      </c>
      <c r="O116" s="120">
        <f t="shared" si="6"/>
        <v>0</v>
      </c>
      <c r="P116" s="278" t="s">
        <v>9</v>
      </c>
      <c r="Q116" s="120">
        <f t="shared" si="7"/>
        <v>0</v>
      </c>
      <c r="R116" s="231" t="s">
        <v>9</v>
      </c>
      <c r="S116" s="71" t="s">
        <v>0</v>
      </c>
      <c r="T116">
        <v>98</v>
      </c>
      <c r="U116" s="333">
        <v>0.03405</v>
      </c>
      <c r="V116" s="333">
        <v>0.02367</v>
      </c>
      <c r="W116" s="333">
        <v>0.03402</v>
      </c>
      <c r="X116" s="334">
        <v>0.02402</v>
      </c>
      <c r="Y116" s="335">
        <v>0.04334</v>
      </c>
      <c r="Z116" s="335">
        <v>0.03795</v>
      </c>
      <c r="AA116" s="335">
        <v>0.03838</v>
      </c>
      <c r="AB116" s="336" t="str">
        <f>IF(Participant!$D$13="-","-",IF(I116&lt;&gt;0,I116*(1+HLOOKUP(Participant!$D$13,CF_Analysis!$U$18:$AA$118,CF_Analysis!T116+1,FALSE))^-T116,IF(ISNUMBER(J116),J116*(1+HLOOKUP(Participant!$D$13,CF_Analysis!$U$18:$AA$118,CF_Analysis!T116+1,FALSE))^-T116,"-")))</f>
        <v>-</v>
      </c>
      <c r="AC116">
        <v>98</v>
      </c>
      <c r="AD116" s="333">
        <v>0.02935</v>
      </c>
      <c r="AE116" s="333">
        <v>0.01897</v>
      </c>
      <c r="AF116" s="333">
        <v>0.02932</v>
      </c>
      <c r="AG116" s="333">
        <v>0.01932</v>
      </c>
      <c r="AH116" s="333">
        <v>0.03864</v>
      </c>
      <c r="AI116" s="333">
        <v>0.03325</v>
      </c>
      <c r="AJ116" s="333">
        <v>0.03368</v>
      </c>
      <c r="AK116" s="336" t="str">
        <f>IF(Participant!$D$13="-","-",IF(Q116&lt;&gt;0,Q116*(1+HLOOKUP(Participant!$D$13,$AD$18:$AJ$118,CF_Analysis!AC116+1,FALSE))^-AC116,IF(ISNUMBER(R116),R116*(1+HLOOKUP(Participant!$D$13,$AD$18:$AJ$118,CF_Analysis!AC116+1,FALSE))^-AC116,"-")))</f>
        <v>-</v>
      </c>
      <c r="AL116" s="71" t="s">
        <v>0</v>
      </c>
      <c r="AM116" s="51"/>
    </row>
    <row r="117" spans="3:39" ht="15" customHeight="1">
      <c r="C117" s="274">
        <v>99</v>
      </c>
      <c r="D117" s="282" t="s">
        <v>9</v>
      </c>
      <c r="E117" s="282" t="s">
        <v>9</v>
      </c>
      <c r="F117" s="279" t="s">
        <v>9</v>
      </c>
      <c r="G117" s="120">
        <f t="shared" si="4"/>
        <v>0</v>
      </c>
      <c r="H117" s="278" t="s">
        <v>9</v>
      </c>
      <c r="I117" s="120">
        <f t="shared" si="5"/>
        <v>0</v>
      </c>
      <c r="J117" s="278" t="s">
        <v>9</v>
      </c>
      <c r="K117" s="182"/>
      <c r="L117" s="282" t="s">
        <v>9</v>
      </c>
      <c r="M117" s="282" t="s">
        <v>9</v>
      </c>
      <c r="N117" s="279" t="s">
        <v>9</v>
      </c>
      <c r="O117" s="120">
        <f t="shared" si="6"/>
        <v>0</v>
      </c>
      <c r="P117" s="278" t="s">
        <v>9</v>
      </c>
      <c r="Q117" s="120">
        <f t="shared" si="7"/>
        <v>0</v>
      </c>
      <c r="R117" s="231" t="s">
        <v>9</v>
      </c>
      <c r="S117" s="71" t="s">
        <v>0</v>
      </c>
      <c r="T117">
        <v>99</v>
      </c>
      <c r="U117" s="333">
        <v>0.03413</v>
      </c>
      <c r="V117" s="333">
        <v>0.02375</v>
      </c>
      <c r="W117" s="333">
        <v>0.0341</v>
      </c>
      <c r="X117" s="334">
        <v>0.0242</v>
      </c>
      <c r="Y117" s="335">
        <v>0.04332</v>
      </c>
      <c r="Z117" s="335">
        <v>0.03799</v>
      </c>
      <c r="AA117" s="335">
        <v>0.03842</v>
      </c>
      <c r="AB117" s="336" t="str">
        <f>IF(Participant!$D$13="-","-",IF(I117&lt;&gt;0,I117*(1+HLOOKUP(Participant!$D$13,CF_Analysis!$U$18:$AA$118,CF_Analysis!T117+1,FALSE))^-T117,IF(ISNUMBER(J117),J117*(1+HLOOKUP(Participant!$D$13,CF_Analysis!$U$18:$AA$118,CF_Analysis!T117+1,FALSE))^-T117,"-")))</f>
        <v>-</v>
      </c>
      <c r="AC117">
        <v>99</v>
      </c>
      <c r="AD117" s="333">
        <v>0.02943</v>
      </c>
      <c r="AE117" s="333">
        <v>0.01905</v>
      </c>
      <c r="AF117" s="333">
        <v>0.0294</v>
      </c>
      <c r="AG117" s="333">
        <v>0.0195</v>
      </c>
      <c r="AH117" s="333">
        <v>0.03862</v>
      </c>
      <c r="AI117" s="333">
        <v>0.03329</v>
      </c>
      <c r="AJ117" s="333">
        <v>0.03372</v>
      </c>
      <c r="AK117" s="336" t="str">
        <f>IF(Participant!$D$13="-","-",IF(Q117&lt;&gt;0,Q117*(1+HLOOKUP(Participant!$D$13,$AD$18:$AJ$118,CF_Analysis!AC117+1,FALSE))^-AC117,IF(ISNUMBER(R117),R117*(1+HLOOKUP(Participant!$D$13,$AD$18:$AJ$118,CF_Analysis!AC117+1,FALSE))^-AC117,"-")))</f>
        <v>-</v>
      </c>
      <c r="AL117" s="71" t="s">
        <v>0</v>
      </c>
      <c r="AM117" s="51"/>
    </row>
    <row r="118" spans="3:39" ht="15" customHeight="1">
      <c r="C118" s="276">
        <v>100</v>
      </c>
      <c r="D118" s="283" t="s">
        <v>9</v>
      </c>
      <c r="E118" s="283" t="s">
        <v>9</v>
      </c>
      <c r="F118" s="280" t="s">
        <v>9</v>
      </c>
      <c r="G118" s="284">
        <f t="shared" si="4"/>
        <v>0</v>
      </c>
      <c r="H118" s="281" t="s">
        <v>9</v>
      </c>
      <c r="I118" s="284">
        <f t="shared" si="5"/>
        <v>0</v>
      </c>
      <c r="J118" s="281" t="s">
        <v>9</v>
      </c>
      <c r="K118" s="179"/>
      <c r="L118" s="283" t="s">
        <v>9</v>
      </c>
      <c r="M118" s="283" t="s">
        <v>9</v>
      </c>
      <c r="N118" s="280" t="s">
        <v>9</v>
      </c>
      <c r="O118" s="284">
        <f t="shared" si="6"/>
        <v>0</v>
      </c>
      <c r="P118" s="281" t="s">
        <v>9</v>
      </c>
      <c r="Q118" s="284">
        <f t="shared" si="7"/>
        <v>0</v>
      </c>
      <c r="R118" s="235" t="s">
        <v>9</v>
      </c>
      <c r="S118" s="71" t="s">
        <v>0</v>
      </c>
      <c r="T118">
        <v>100</v>
      </c>
      <c r="U118" s="333">
        <v>0.03421</v>
      </c>
      <c r="V118" s="333">
        <v>0.02383</v>
      </c>
      <c r="W118" s="333">
        <v>0.03418</v>
      </c>
      <c r="X118" s="334">
        <v>0.02438</v>
      </c>
      <c r="Y118" s="335">
        <v>0.04331</v>
      </c>
      <c r="Z118" s="335">
        <v>0.03803</v>
      </c>
      <c r="AA118" s="335">
        <v>0.03846</v>
      </c>
      <c r="AB118" s="336" t="str">
        <f>IF(Participant!$D$13="-","-",IF(I118&lt;&gt;0,I118*(1+HLOOKUP(Participant!$D$13,CF_Analysis!$U$18:$AA$118,CF_Analysis!T118+1,FALSE))^-T118,IF(ISNUMBER(J118),J118*(1+HLOOKUP(Participant!$D$13,CF_Analysis!$U$18:$AA$118,CF_Analysis!T118+1,FALSE))^-T118,"-")))</f>
        <v>-</v>
      </c>
      <c r="AC118">
        <v>100</v>
      </c>
      <c r="AD118" s="333">
        <v>0.02951</v>
      </c>
      <c r="AE118" s="333">
        <v>0.01913</v>
      </c>
      <c r="AF118" s="333">
        <v>0.02948</v>
      </c>
      <c r="AG118" s="333">
        <v>0.01968</v>
      </c>
      <c r="AH118" s="333">
        <v>0.03861</v>
      </c>
      <c r="AI118" s="333">
        <v>0.03333</v>
      </c>
      <c r="AJ118" s="333">
        <v>0.03376</v>
      </c>
      <c r="AK118" s="336" t="str">
        <f>IF(Participant!$D$13="-","-",IF(Q118&lt;&gt;0,Q118*(1+HLOOKUP(Participant!$D$13,$AD$18:$AJ$118,CF_Analysis!AC118+1,FALSE))^-AC118,IF(ISNUMBER(R118),R118*(1+HLOOKUP(Participant!$D$13,$AD$18:$AJ$118,CF_Analysis!AC118+1,FALSE))^-AC118,"-")))</f>
        <v>-</v>
      </c>
      <c r="AL118" s="71" t="s">
        <v>0</v>
      </c>
      <c r="AM118" s="51"/>
    </row>
    <row r="119" spans="19:39" ht="4.5" customHeight="1">
      <c r="S119" s="71" t="s">
        <v>0</v>
      </c>
      <c r="U119" s="333"/>
      <c r="V119" s="333"/>
      <c r="W119" s="333"/>
      <c r="X119" s="334"/>
      <c r="Y119" s="335"/>
      <c r="Z119" s="335"/>
      <c r="AA119" s="335"/>
      <c r="AB119" s="336"/>
      <c r="AD119" s="333"/>
      <c r="AE119" s="333"/>
      <c r="AF119" s="333"/>
      <c r="AG119" s="333"/>
      <c r="AH119" s="333"/>
      <c r="AI119" s="333"/>
      <c r="AJ119" s="333"/>
      <c r="AK119" s="336"/>
      <c r="AL119" s="71" t="s">
        <v>0</v>
      </c>
      <c r="AM119" s="51"/>
    </row>
    <row r="120" spans="1:38" ht="15">
      <c r="A120" s="71" t="s">
        <v>0</v>
      </c>
      <c r="B120" s="71" t="s">
        <v>0</v>
      </c>
      <c r="C120" s="71" t="s">
        <v>0</v>
      </c>
      <c r="D120" s="71" t="s">
        <v>0</v>
      </c>
      <c r="E120" s="71" t="s">
        <v>0</v>
      </c>
      <c r="F120" s="71" t="s">
        <v>0</v>
      </c>
      <c r="G120" s="71" t="s">
        <v>0</v>
      </c>
      <c r="H120" s="71" t="s">
        <v>0</v>
      </c>
      <c r="I120" s="71" t="s">
        <v>0</v>
      </c>
      <c r="J120" s="71" t="s">
        <v>0</v>
      </c>
      <c r="K120" s="71" t="s">
        <v>0</v>
      </c>
      <c r="L120" s="71" t="s">
        <v>0</v>
      </c>
      <c r="M120" s="71" t="s">
        <v>0</v>
      </c>
      <c r="N120" s="71" t="s">
        <v>0</v>
      </c>
      <c r="O120" s="71" t="s">
        <v>0</v>
      </c>
      <c r="P120" s="71" t="s">
        <v>0</v>
      </c>
      <c r="Q120" s="71" t="s">
        <v>0</v>
      </c>
      <c r="R120" s="71" t="s">
        <v>0</v>
      </c>
      <c r="S120" s="71" t="s">
        <v>0</v>
      </c>
      <c r="T120" s="71" t="s">
        <v>0</v>
      </c>
      <c r="U120" s="71" t="s">
        <v>0</v>
      </c>
      <c r="V120" s="71" t="s">
        <v>0</v>
      </c>
      <c r="W120" s="71" t="s">
        <v>0</v>
      </c>
      <c r="X120" s="71" t="s">
        <v>0</v>
      </c>
      <c r="Y120" s="71" t="s">
        <v>0</v>
      </c>
      <c r="Z120" s="71" t="s">
        <v>0</v>
      </c>
      <c r="AA120" s="71" t="s">
        <v>0</v>
      </c>
      <c r="AB120" s="71" t="s">
        <v>0</v>
      </c>
      <c r="AC120" s="71" t="s">
        <v>0</v>
      </c>
      <c r="AD120" s="71" t="s">
        <v>0</v>
      </c>
      <c r="AE120" s="71" t="s">
        <v>0</v>
      </c>
      <c r="AF120" s="71" t="s">
        <v>0</v>
      </c>
      <c r="AG120" s="71" t="s">
        <v>0</v>
      </c>
      <c r="AH120" s="71" t="s">
        <v>0</v>
      </c>
      <c r="AI120" s="71" t="s">
        <v>0</v>
      </c>
      <c r="AJ120" s="71" t="s">
        <v>0</v>
      </c>
      <c r="AK120" s="71" t="s">
        <v>0</v>
      </c>
      <c r="AL120" s="71" t="s">
        <v>0</v>
      </c>
    </row>
    <row r="121" spans="21:34" ht="15">
      <c r="U121" s="333"/>
      <c r="V121" s="333"/>
      <c r="W121" s="333"/>
      <c r="X121" s="334"/>
      <c r="Y121" s="335"/>
      <c r="Z121" s="335"/>
      <c r="AA121" s="335"/>
      <c r="AB121" s="336"/>
      <c r="AD121" s="333"/>
      <c r="AE121" s="333"/>
      <c r="AF121" s="333"/>
      <c r="AG121" s="333"/>
      <c r="AH121" s="333"/>
    </row>
    <row r="122" spans="21:34" ht="15">
      <c r="U122" s="333"/>
      <c r="V122" s="333"/>
      <c r="W122" s="333"/>
      <c r="X122" s="334"/>
      <c r="Y122" s="335"/>
      <c r="Z122" s="335"/>
      <c r="AA122" s="335"/>
      <c r="AB122" s="336"/>
      <c r="AD122" s="333"/>
      <c r="AE122" s="333"/>
      <c r="AF122" s="333"/>
      <c r="AG122" s="333"/>
      <c r="AH122" s="333"/>
    </row>
    <row r="123" spans="21:34" ht="15">
      <c r="U123" s="333"/>
      <c r="V123" s="333"/>
      <c r="W123" s="333"/>
      <c r="X123" s="334"/>
      <c r="Y123" s="335"/>
      <c r="Z123" s="335"/>
      <c r="AA123" s="335"/>
      <c r="AB123" s="336"/>
      <c r="AD123" s="333"/>
      <c r="AE123" s="333"/>
      <c r="AF123" s="333"/>
      <c r="AG123" s="333"/>
      <c r="AH123" s="333"/>
    </row>
    <row r="124" spans="21:34" ht="15">
      <c r="U124" s="333"/>
      <c r="V124" s="333"/>
      <c r="W124" s="333"/>
      <c r="X124" s="334"/>
      <c r="Y124" s="335"/>
      <c r="Z124" s="335"/>
      <c r="AA124" s="335"/>
      <c r="AB124" s="336"/>
      <c r="AD124" s="333"/>
      <c r="AE124" s="333"/>
      <c r="AF124" s="333"/>
      <c r="AG124" s="333"/>
      <c r="AH124" s="333"/>
    </row>
    <row r="125" spans="21:34" ht="15">
      <c r="U125" s="333"/>
      <c r="V125" s="333"/>
      <c r="W125" s="333"/>
      <c r="X125" s="334"/>
      <c r="Y125" s="335"/>
      <c r="Z125" s="335"/>
      <c r="AA125" s="335"/>
      <c r="AB125" s="336"/>
      <c r="AD125" s="333"/>
      <c r="AE125" s="333"/>
      <c r="AF125" s="333"/>
      <c r="AG125" s="333"/>
      <c r="AH125" s="333"/>
    </row>
    <row r="126" spans="21:34" ht="15">
      <c r="U126" s="333"/>
      <c r="V126" s="333"/>
      <c r="W126" s="333"/>
      <c r="X126" s="334"/>
      <c r="Y126" s="335"/>
      <c r="Z126" s="335"/>
      <c r="AA126" s="335"/>
      <c r="AB126" s="336"/>
      <c r="AD126" s="333"/>
      <c r="AE126" s="333"/>
      <c r="AF126" s="333"/>
      <c r="AG126" s="333"/>
      <c r="AH126" s="333"/>
    </row>
    <row r="127" spans="21:34" ht="15">
      <c r="U127" s="333"/>
      <c r="V127" s="333"/>
      <c r="W127" s="333"/>
      <c r="X127" s="334"/>
      <c r="Y127" s="335"/>
      <c r="Z127" s="335"/>
      <c r="AA127" s="335"/>
      <c r="AB127" s="336"/>
      <c r="AD127" s="333"/>
      <c r="AE127" s="333"/>
      <c r="AF127" s="333"/>
      <c r="AG127" s="333"/>
      <c r="AH127" s="333"/>
    </row>
    <row r="128" spans="21:34" ht="15">
      <c r="U128" s="333"/>
      <c r="V128" s="333"/>
      <c r="W128" s="333"/>
      <c r="X128" s="334"/>
      <c r="Y128" s="335"/>
      <c r="Z128" s="335"/>
      <c r="AA128" s="335"/>
      <c r="AB128" s="336"/>
      <c r="AD128" s="333"/>
      <c r="AE128" s="333"/>
      <c r="AF128" s="333"/>
      <c r="AG128" s="333"/>
      <c r="AH128" s="333"/>
    </row>
    <row r="129" spans="21:34" ht="15">
      <c r="U129" s="333"/>
      <c r="V129" s="333"/>
      <c r="W129" s="333"/>
      <c r="X129" s="334"/>
      <c r="Y129" s="335"/>
      <c r="Z129" s="335"/>
      <c r="AA129" s="335"/>
      <c r="AB129" s="336"/>
      <c r="AD129" s="333"/>
      <c r="AE129" s="333"/>
      <c r="AF129" s="333"/>
      <c r="AG129" s="333"/>
      <c r="AH129" s="333"/>
    </row>
    <row r="130" spans="21:34" ht="15">
      <c r="U130" s="333"/>
      <c r="V130" s="333"/>
      <c r="W130" s="333"/>
      <c r="X130" s="334"/>
      <c r="Y130" s="335"/>
      <c r="Z130" s="335"/>
      <c r="AA130" s="335"/>
      <c r="AB130" s="336"/>
      <c r="AD130" s="333"/>
      <c r="AE130" s="333"/>
      <c r="AF130" s="333"/>
      <c r="AG130" s="333"/>
      <c r="AH130" s="333"/>
    </row>
    <row r="131" spans="21:34" ht="15">
      <c r="U131" s="333"/>
      <c r="V131" s="333"/>
      <c r="W131" s="333"/>
      <c r="X131" s="334"/>
      <c r="Y131" s="335"/>
      <c r="Z131" s="335"/>
      <c r="AA131" s="335"/>
      <c r="AB131" s="336"/>
      <c r="AD131" s="333"/>
      <c r="AE131" s="333"/>
      <c r="AF131" s="333"/>
      <c r="AG131" s="333"/>
      <c r="AH131" s="333"/>
    </row>
    <row r="132" spans="21:34" ht="15">
      <c r="U132" s="333"/>
      <c r="V132" s="333"/>
      <c r="W132" s="333"/>
      <c r="X132" s="334"/>
      <c r="Y132" s="335"/>
      <c r="Z132" s="335"/>
      <c r="AA132" s="335"/>
      <c r="AB132" s="336"/>
      <c r="AD132" s="333"/>
      <c r="AE132" s="333"/>
      <c r="AF132" s="333"/>
      <c r="AG132" s="333"/>
      <c r="AH132" s="333"/>
    </row>
    <row r="133" spans="21:34" ht="15">
      <c r="U133" s="333"/>
      <c r="V133" s="333"/>
      <c r="W133" s="333"/>
      <c r="X133" s="334"/>
      <c r="Y133" s="335"/>
      <c r="Z133" s="335"/>
      <c r="AA133" s="335"/>
      <c r="AB133" s="336"/>
      <c r="AD133" s="333"/>
      <c r="AE133" s="333"/>
      <c r="AF133" s="333"/>
      <c r="AG133" s="333"/>
      <c r="AH133" s="333"/>
    </row>
    <row r="134" spans="21:34" ht="15">
      <c r="U134" s="333"/>
      <c r="V134" s="333"/>
      <c r="W134" s="333"/>
      <c r="X134" s="334"/>
      <c r="Y134" s="335"/>
      <c r="Z134" s="335"/>
      <c r="AA134" s="335"/>
      <c r="AB134" s="336"/>
      <c r="AD134" s="333"/>
      <c r="AE134" s="333"/>
      <c r="AF134" s="333"/>
      <c r="AG134" s="333"/>
      <c r="AH134" s="333"/>
    </row>
    <row r="135" spans="21:34" ht="15">
      <c r="U135" s="333"/>
      <c r="V135" s="333"/>
      <c r="W135" s="333"/>
      <c r="X135" s="334"/>
      <c r="Y135" s="335"/>
      <c r="Z135" s="335"/>
      <c r="AA135" s="335"/>
      <c r="AB135" s="336"/>
      <c r="AD135" s="333"/>
      <c r="AE135" s="333"/>
      <c r="AF135" s="333"/>
      <c r="AG135" s="333"/>
      <c r="AH135" s="333"/>
    </row>
    <row r="136" spans="21:34" ht="15">
      <c r="U136" s="333"/>
      <c r="V136" s="333"/>
      <c r="W136" s="333"/>
      <c r="X136" s="334"/>
      <c r="Y136" s="335"/>
      <c r="Z136" s="335"/>
      <c r="AA136" s="335"/>
      <c r="AB136" s="336"/>
      <c r="AD136" s="333"/>
      <c r="AE136" s="333"/>
      <c r="AF136" s="333"/>
      <c r="AG136" s="333"/>
      <c r="AH136" s="333"/>
    </row>
    <row r="137" spans="21:34" ht="15">
      <c r="U137" s="333"/>
      <c r="V137" s="333"/>
      <c r="W137" s="333"/>
      <c r="X137" s="334"/>
      <c r="Y137" s="335"/>
      <c r="Z137" s="335"/>
      <c r="AA137" s="335"/>
      <c r="AB137" s="336"/>
      <c r="AD137" s="333"/>
      <c r="AE137" s="333"/>
      <c r="AF137" s="333"/>
      <c r="AG137" s="333"/>
      <c r="AH137" s="333"/>
    </row>
    <row r="138" spans="21:34" ht="15">
      <c r="U138" s="333"/>
      <c r="V138" s="333"/>
      <c r="W138" s="333"/>
      <c r="X138" s="334"/>
      <c r="Y138" s="335"/>
      <c r="Z138" s="335"/>
      <c r="AA138" s="335"/>
      <c r="AB138" s="336"/>
      <c r="AD138" s="333"/>
      <c r="AE138" s="333"/>
      <c r="AF138" s="333"/>
      <c r="AG138" s="333"/>
      <c r="AH138" s="333"/>
    </row>
    <row r="139" spans="21:34" ht="15">
      <c r="U139" s="333"/>
      <c r="V139" s="333"/>
      <c r="W139" s="333"/>
      <c r="X139" s="334"/>
      <c r="Y139" s="335"/>
      <c r="Z139" s="335"/>
      <c r="AA139" s="335"/>
      <c r="AB139" s="336"/>
      <c r="AD139" s="333"/>
      <c r="AE139" s="333"/>
      <c r="AF139" s="333"/>
      <c r="AG139" s="333"/>
      <c r="AH139" s="333"/>
    </row>
    <row r="140" spans="21:34" ht="15">
      <c r="U140" s="333"/>
      <c r="V140" s="333"/>
      <c r="W140" s="333"/>
      <c r="X140" s="334"/>
      <c r="Y140" s="335"/>
      <c r="Z140" s="335"/>
      <c r="AA140" s="335"/>
      <c r="AB140" s="336"/>
      <c r="AD140" s="333"/>
      <c r="AE140" s="333"/>
      <c r="AF140" s="333"/>
      <c r="AG140" s="333"/>
      <c r="AH140" s="333"/>
    </row>
    <row r="141" spans="21:34" ht="15">
      <c r="U141" s="333"/>
      <c r="V141" s="333"/>
      <c r="W141" s="333"/>
      <c r="X141" s="334"/>
      <c r="Y141" s="335"/>
      <c r="Z141" s="335"/>
      <c r="AA141" s="335"/>
      <c r="AB141" s="336"/>
      <c r="AD141" s="333"/>
      <c r="AE141" s="333"/>
      <c r="AF141" s="333"/>
      <c r="AG141" s="333"/>
      <c r="AH141" s="333"/>
    </row>
    <row r="142" spans="21:34" ht="15">
      <c r="U142" s="333"/>
      <c r="V142" s="333"/>
      <c r="W142" s="333"/>
      <c r="X142" s="334"/>
      <c r="Y142" s="335"/>
      <c r="Z142" s="335"/>
      <c r="AA142" s="335"/>
      <c r="AB142" s="336"/>
      <c r="AD142" s="333"/>
      <c r="AE142" s="333"/>
      <c r="AF142" s="333"/>
      <c r="AG142" s="333"/>
      <c r="AH142" s="333"/>
    </row>
    <row r="143" spans="21:34" ht="15">
      <c r="U143" s="333"/>
      <c r="V143" s="333"/>
      <c r="W143" s="333"/>
      <c r="X143" s="334"/>
      <c r="Y143" s="335"/>
      <c r="Z143" s="335"/>
      <c r="AA143" s="335"/>
      <c r="AB143" s="336"/>
      <c r="AD143" s="333"/>
      <c r="AE143" s="333"/>
      <c r="AF143" s="333"/>
      <c r="AG143" s="333"/>
      <c r="AH143" s="333"/>
    </row>
    <row r="144" spans="21:34" ht="15">
      <c r="U144" s="333"/>
      <c r="V144" s="333"/>
      <c r="W144" s="333"/>
      <c r="X144" s="334"/>
      <c r="Y144" s="335"/>
      <c r="Z144" s="335"/>
      <c r="AA144" s="335"/>
      <c r="AB144" s="336"/>
      <c r="AD144" s="333"/>
      <c r="AE144" s="333"/>
      <c r="AF144" s="333"/>
      <c r="AG144" s="333"/>
      <c r="AH144" s="333"/>
    </row>
    <row r="145" spans="21:34" ht="15">
      <c r="U145" s="333"/>
      <c r="V145" s="333"/>
      <c r="W145" s="333"/>
      <c r="X145" s="334"/>
      <c r="Y145" s="335"/>
      <c r="Z145" s="335"/>
      <c r="AA145" s="335"/>
      <c r="AB145" s="336"/>
      <c r="AD145" s="333"/>
      <c r="AE145" s="333"/>
      <c r="AF145" s="333"/>
      <c r="AG145" s="333"/>
      <c r="AH145" s="333"/>
    </row>
    <row r="146" spans="21:34" ht="15">
      <c r="U146" s="333"/>
      <c r="V146" s="333"/>
      <c r="W146" s="333"/>
      <c r="X146" s="334"/>
      <c r="Y146" s="335"/>
      <c r="Z146" s="335"/>
      <c r="AA146" s="335"/>
      <c r="AB146" s="336"/>
      <c r="AD146" s="333"/>
      <c r="AE146" s="333"/>
      <c r="AF146" s="333"/>
      <c r="AG146" s="333"/>
      <c r="AH146" s="333"/>
    </row>
    <row r="147" spans="21:34" ht="15">
      <c r="U147" s="333"/>
      <c r="V147" s="333"/>
      <c r="W147" s="333"/>
      <c r="X147" s="334"/>
      <c r="Y147" s="335"/>
      <c r="Z147" s="335"/>
      <c r="AA147" s="335"/>
      <c r="AB147" s="336"/>
      <c r="AD147" s="333"/>
      <c r="AE147" s="333"/>
      <c r="AF147" s="333"/>
      <c r="AG147" s="333"/>
      <c r="AH147" s="333"/>
    </row>
    <row r="148" spans="21:34" ht="15">
      <c r="U148" s="333"/>
      <c r="V148" s="333"/>
      <c r="W148" s="333"/>
      <c r="X148" s="334"/>
      <c r="Y148" s="335"/>
      <c r="Z148" s="335"/>
      <c r="AA148" s="335"/>
      <c r="AB148" s="336"/>
      <c r="AD148" s="333"/>
      <c r="AE148" s="333"/>
      <c r="AF148" s="333"/>
      <c r="AG148" s="333"/>
      <c r="AH148" s="333"/>
    </row>
    <row r="149" spans="21:34" ht="15">
      <c r="U149" s="333"/>
      <c r="V149" s="333"/>
      <c r="W149" s="333"/>
      <c r="X149" s="334"/>
      <c r="Y149" s="335"/>
      <c r="Z149" s="335"/>
      <c r="AA149" s="335"/>
      <c r="AB149" s="336"/>
      <c r="AD149" s="333"/>
      <c r="AE149" s="333"/>
      <c r="AF149" s="333"/>
      <c r="AG149" s="333"/>
      <c r="AH149" s="333"/>
    </row>
    <row r="150" spans="21:34" ht="15">
      <c r="U150" s="333"/>
      <c r="V150" s="333"/>
      <c r="W150" s="333"/>
      <c r="X150" s="334"/>
      <c r="Y150" s="335"/>
      <c r="Z150" s="335"/>
      <c r="AA150" s="335"/>
      <c r="AB150" s="336"/>
      <c r="AD150" s="333"/>
      <c r="AE150" s="333"/>
      <c r="AF150" s="333"/>
      <c r="AG150" s="333"/>
      <c r="AH150" s="333"/>
    </row>
    <row r="151" spans="21:34" ht="15">
      <c r="U151" s="333"/>
      <c r="V151" s="333"/>
      <c r="W151" s="333"/>
      <c r="X151" s="334"/>
      <c r="Y151" s="335"/>
      <c r="Z151" s="335"/>
      <c r="AA151" s="335"/>
      <c r="AB151" s="336"/>
      <c r="AD151" s="333"/>
      <c r="AE151" s="333"/>
      <c r="AF151" s="333"/>
      <c r="AG151" s="333"/>
      <c r="AH151" s="333"/>
    </row>
    <row r="152" spans="21:34" ht="15">
      <c r="U152" s="333"/>
      <c r="V152" s="333"/>
      <c r="W152" s="333"/>
      <c r="X152" s="334"/>
      <c r="Y152" s="335"/>
      <c r="Z152" s="335"/>
      <c r="AA152" s="335"/>
      <c r="AB152" s="336"/>
      <c r="AD152" s="333"/>
      <c r="AE152" s="333"/>
      <c r="AF152" s="333"/>
      <c r="AG152" s="333"/>
      <c r="AH152" s="333"/>
    </row>
    <row r="153" spans="21:34" ht="15">
      <c r="U153" s="333"/>
      <c r="V153" s="333"/>
      <c r="W153" s="333"/>
      <c r="X153" s="334"/>
      <c r="Y153" s="335"/>
      <c r="Z153" s="335"/>
      <c r="AA153" s="335"/>
      <c r="AB153" s="336"/>
      <c r="AD153" s="333"/>
      <c r="AE153" s="333"/>
      <c r="AF153" s="333"/>
      <c r="AG153" s="333"/>
      <c r="AH153" s="333"/>
    </row>
    <row r="154" spans="21:34" ht="15">
      <c r="U154" s="335"/>
      <c r="V154" s="335"/>
      <c r="W154" s="335"/>
      <c r="X154" s="335"/>
      <c r="Y154" s="335"/>
      <c r="Z154" s="335"/>
      <c r="AA154" s="335"/>
      <c r="AB154" s="336"/>
      <c r="AD154" s="333"/>
      <c r="AE154" s="333"/>
      <c r="AF154" s="333"/>
      <c r="AG154" s="333"/>
      <c r="AH154" s="333"/>
    </row>
    <row r="155" spans="21:34" ht="15">
      <c r="U155" s="335"/>
      <c r="V155" s="335"/>
      <c r="W155" s="335"/>
      <c r="X155" s="335"/>
      <c r="Y155" s="335"/>
      <c r="Z155" s="335"/>
      <c r="AA155" s="335"/>
      <c r="AB155" s="336"/>
      <c r="AD155" s="333"/>
      <c r="AE155" s="333"/>
      <c r="AF155" s="333"/>
      <c r="AG155" s="333"/>
      <c r="AH155" s="333"/>
    </row>
    <row r="156" spans="21:34" ht="15">
      <c r="U156" s="335"/>
      <c r="V156" s="335"/>
      <c r="W156" s="335"/>
      <c r="X156" s="335"/>
      <c r="Y156" s="335"/>
      <c r="Z156" s="335"/>
      <c r="AA156" s="335"/>
      <c r="AB156" s="336"/>
      <c r="AD156" s="333"/>
      <c r="AE156" s="333"/>
      <c r="AF156" s="333"/>
      <c r="AG156" s="333"/>
      <c r="AH156" s="333"/>
    </row>
    <row r="157" spans="21:34" ht="15">
      <c r="U157" s="335"/>
      <c r="V157" s="335"/>
      <c r="W157" s="335"/>
      <c r="X157" s="335"/>
      <c r="Y157" s="335"/>
      <c r="Z157" s="335"/>
      <c r="AA157" s="335"/>
      <c r="AB157" s="336"/>
      <c r="AD157" s="333"/>
      <c r="AE157" s="333"/>
      <c r="AF157" s="333"/>
      <c r="AG157" s="333"/>
      <c r="AH157" s="333"/>
    </row>
    <row r="158" spans="21:34" ht="15">
      <c r="U158" s="335"/>
      <c r="V158" s="335"/>
      <c r="W158" s="335"/>
      <c r="X158" s="335"/>
      <c r="Y158" s="335"/>
      <c r="Z158" s="335"/>
      <c r="AA158" s="335"/>
      <c r="AB158" s="336"/>
      <c r="AD158" s="333"/>
      <c r="AE158" s="333"/>
      <c r="AF158" s="333"/>
      <c r="AG158" s="333"/>
      <c r="AH158" s="333"/>
    </row>
    <row r="159" spans="21:34" ht="15">
      <c r="U159" s="335"/>
      <c r="V159" s="335"/>
      <c r="W159" s="335"/>
      <c r="X159" s="335"/>
      <c r="Y159" s="335"/>
      <c r="Z159" s="335"/>
      <c r="AA159" s="335"/>
      <c r="AB159" s="336"/>
      <c r="AD159" s="333"/>
      <c r="AE159" s="333"/>
      <c r="AF159" s="333"/>
      <c r="AG159" s="333"/>
      <c r="AH159" s="333"/>
    </row>
    <row r="160" spans="21:34" ht="15">
      <c r="U160" s="335"/>
      <c r="V160" s="335"/>
      <c r="W160" s="335"/>
      <c r="X160" s="335"/>
      <c r="Y160" s="335"/>
      <c r="Z160" s="335"/>
      <c r="AA160" s="335"/>
      <c r="AB160" s="336"/>
      <c r="AD160" s="333"/>
      <c r="AE160" s="333"/>
      <c r="AF160" s="333"/>
      <c r="AG160" s="333"/>
      <c r="AH160" s="333"/>
    </row>
    <row r="161" spans="21:34" ht="15">
      <c r="U161" s="335"/>
      <c r="V161" s="335"/>
      <c r="W161" s="335"/>
      <c r="X161" s="335"/>
      <c r="Y161" s="335"/>
      <c r="Z161" s="335"/>
      <c r="AA161" s="335"/>
      <c r="AB161" s="336"/>
      <c r="AD161" s="333"/>
      <c r="AE161" s="333"/>
      <c r="AF161" s="333"/>
      <c r="AG161" s="333"/>
      <c r="AH161" s="333"/>
    </row>
    <row r="162" spans="21:34" ht="15">
      <c r="U162" s="335"/>
      <c r="V162" s="335"/>
      <c r="W162" s="335"/>
      <c r="X162" s="335"/>
      <c r="Y162" s="335"/>
      <c r="Z162" s="335"/>
      <c r="AA162" s="335"/>
      <c r="AB162" s="336"/>
      <c r="AD162" s="333"/>
      <c r="AE162" s="333"/>
      <c r="AF162" s="333"/>
      <c r="AG162" s="333"/>
      <c r="AH162" s="333"/>
    </row>
    <row r="163" spans="21:34" ht="15">
      <c r="U163" s="335"/>
      <c r="V163" s="335"/>
      <c r="W163" s="335"/>
      <c r="X163" s="335"/>
      <c r="Y163" s="335"/>
      <c r="Z163" s="335"/>
      <c r="AA163" s="335"/>
      <c r="AB163" s="336"/>
      <c r="AD163" s="333"/>
      <c r="AE163" s="333"/>
      <c r="AF163" s="333"/>
      <c r="AG163" s="333"/>
      <c r="AH163" s="333"/>
    </row>
    <row r="164" spans="21:34" ht="15">
      <c r="U164" s="335"/>
      <c r="V164" s="335"/>
      <c r="W164" s="335"/>
      <c r="X164" s="335"/>
      <c r="Y164" s="335"/>
      <c r="Z164" s="335"/>
      <c r="AA164" s="335"/>
      <c r="AB164" s="336"/>
      <c r="AD164" s="333"/>
      <c r="AE164" s="333"/>
      <c r="AF164" s="333"/>
      <c r="AG164" s="333"/>
      <c r="AH164" s="333"/>
    </row>
    <row r="165" spans="21:34" ht="15">
      <c r="U165" s="335"/>
      <c r="V165" s="335"/>
      <c r="W165" s="335"/>
      <c r="X165" s="335"/>
      <c r="Y165" s="335"/>
      <c r="Z165" s="335"/>
      <c r="AA165" s="335"/>
      <c r="AB165" s="336"/>
      <c r="AD165" s="333"/>
      <c r="AE165" s="333"/>
      <c r="AF165" s="333"/>
      <c r="AG165" s="333"/>
      <c r="AH165" s="333"/>
    </row>
    <row r="166" spans="21:34" ht="15">
      <c r="U166" s="335"/>
      <c r="V166" s="335"/>
      <c r="W166" s="335"/>
      <c r="X166" s="335"/>
      <c r="Y166" s="335"/>
      <c r="Z166" s="335"/>
      <c r="AA166" s="335"/>
      <c r="AB166" s="336"/>
      <c r="AD166" s="333"/>
      <c r="AE166" s="333"/>
      <c r="AF166" s="333"/>
      <c r="AG166" s="333"/>
      <c r="AH166" s="333"/>
    </row>
    <row r="167" spans="21:34" ht="15">
      <c r="U167" s="335"/>
      <c r="V167" s="335"/>
      <c r="W167" s="335"/>
      <c r="X167" s="335"/>
      <c r="Y167" s="335"/>
      <c r="Z167" s="335"/>
      <c r="AA167" s="335"/>
      <c r="AB167" s="336"/>
      <c r="AD167" s="333"/>
      <c r="AE167" s="333"/>
      <c r="AF167" s="333"/>
      <c r="AG167" s="333"/>
      <c r="AH167" s="333"/>
    </row>
    <row r="168" spans="21:34" ht="15">
      <c r="U168" s="335"/>
      <c r="V168" s="335"/>
      <c r="W168" s="335"/>
      <c r="X168" s="335"/>
      <c r="Y168" s="335"/>
      <c r="Z168" s="335"/>
      <c r="AA168" s="335"/>
      <c r="AB168" s="336"/>
      <c r="AD168" s="333"/>
      <c r="AE168" s="333"/>
      <c r="AF168" s="333"/>
      <c r="AG168" s="333"/>
      <c r="AH168" s="333"/>
    </row>
  </sheetData>
  <sheetProtection formatCells="0"/>
  <mergeCells count="12">
    <mergeCell ref="G12:I12"/>
    <mergeCell ref="G13:I13"/>
    <mergeCell ref="G14:I14"/>
    <mergeCell ref="U17:AB17"/>
    <mergeCell ref="C4:D4"/>
    <mergeCell ref="C5:D5"/>
    <mergeCell ref="AD17:AK17"/>
    <mergeCell ref="O12:Q12"/>
    <mergeCell ref="O13:Q13"/>
    <mergeCell ref="O14:Q14"/>
    <mergeCell ref="C9:R9"/>
    <mergeCell ref="L17:R17"/>
  </mergeCells>
  <printOptions/>
  <pageMargins left="0.7" right="0.7" top="0.75" bottom="0.75" header="0.3" footer="0.3"/>
  <pageSetup horizontalDpi="600" verticalDpi="600" orientation="portrait" paperSize="9" r:id="rId3"/>
  <ignoredErrors>
    <ignoredError sqref="I19:I74 G19:G74 G75:G118 I75:I118 O19:O118 Q19:Q118" unlockedFormula="1"/>
  </ignoredErrors>
  <legacyDrawing r:id="rId2"/>
</worksheet>
</file>

<file path=xl/worksheets/sheet7.xml><?xml version="1.0" encoding="utf-8"?>
<worksheet xmlns="http://schemas.openxmlformats.org/spreadsheetml/2006/main" xmlns:r="http://schemas.openxmlformats.org/officeDocument/2006/relationships">
  <sheetPr>
    <tabColor rgb="FFFFC000"/>
  </sheetPr>
  <dimension ref="A1:W418"/>
  <sheetViews>
    <sheetView zoomScalePageLayoutView="0" workbookViewId="0" topLeftCell="A1">
      <selection activeCell="A1" sqref="A1"/>
    </sheetView>
  </sheetViews>
  <sheetFormatPr defaultColWidth="8.8515625" defaultRowHeight="15"/>
  <cols>
    <col min="1" max="2" width="12.140625" style="38" customWidth="1"/>
    <col min="3" max="3" width="51.57421875" style="38" customWidth="1"/>
    <col min="4" max="10" width="12.8515625" style="38" customWidth="1"/>
    <col min="11" max="11" width="12.8515625" style="51" customWidth="1"/>
    <col min="12" max="12" width="3.7109375" style="38" customWidth="1"/>
    <col min="13" max="13" width="8.8515625" style="38" hidden="1" customWidth="1"/>
    <col min="14" max="22" width="8.8515625" style="51" hidden="1" customWidth="1"/>
    <col min="23" max="23" width="3.7109375" style="38" hidden="1" customWidth="1"/>
    <col min="24" max="16384" width="8.8515625" style="38" customWidth="1"/>
  </cols>
  <sheetData>
    <row r="1" spans="3:23" ht="15">
      <c r="C1" s="68" t="str">
        <f>Participant!$C$1</f>
        <v>-</v>
      </c>
      <c r="D1" s="170"/>
      <c r="E1" s="170"/>
      <c r="F1" s="170"/>
      <c r="G1" s="170"/>
      <c r="H1" s="69"/>
      <c r="I1" s="161"/>
      <c r="J1" s="161"/>
      <c r="K1" s="70" t="str">
        <f>Version</f>
        <v>EIOPA-17-283-IORP_ST17_DB_Template-(20170518)</v>
      </c>
      <c r="L1" s="71" t="s">
        <v>0</v>
      </c>
      <c r="M1" s="204" t="s">
        <v>9</v>
      </c>
      <c r="N1" s="204" t="s">
        <v>9</v>
      </c>
      <c r="O1" s="204" t="s">
        <v>9</v>
      </c>
      <c r="P1" s="204" t="s">
        <v>9</v>
      </c>
      <c r="Q1" s="204" t="s">
        <v>9</v>
      </c>
      <c r="R1" s="204" t="s">
        <v>9</v>
      </c>
      <c r="S1" s="204" t="s">
        <v>9</v>
      </c>
      <c r="T1" s="204" t="s">
        <v>9</v>
      </c>
      <c r="U1" s="205" t="s">
        <v>9</v>
      </c>
      <c r="V1" s="205" t="s">
        <v>9</v>
      </c>
      <c r="W1" s="71" t="s">
        <v>0</v>
      </c>
    </row>
    <row r="2" spans="3:23" ht="18.75">
      <c r="C2" s="43" t="str">
        <f>Participant!$C$2</f>
        <v>-</v>
      </c>
      <c r="D2" s="188" t="s">
        <v>322</v>
      </c>
      <c r="E2" s="221"/>
      <c r="F2" s="222"/>
      <c r="G2" s="222"/>
      <c r="H2" s="72"/>
      <c r="I2" s="163"/>
      <c r="J2" s="163"/>
      <c r="K2" s="111" t="str">
        <f>Participant!$E$2</f>
        <v>2016 - - (-)</v>
      </c>
      <c r="L2" s="71" t="s">
        <v>0</v>
      </c>
      <c r="M2" s="204" t="s">
        <v>139</v>
      </c>
      <c r="N2" s="204" t="s">
        <v>61</v>
      </c>
      <c r="O2" s="204" t="s">
        <v>347</v>
      </c>
      <c r="P2" s="204" t="s">
        <v>380</v>
      </c>
      <c r="Q2" s="204" t="s">
        <v>382</v>
      </c>
      <c r="R2" s="204" t="s">
        <v>386</v>
      </c>
      <c r="S2" s="204" t="s">
        <v>300</v>
      </c>
      <c r="T2" s="204" t="s">
        <v>386</v>
      </c>
      <c r="U2" s="205" t="s">
        <v>188</v>
      </c>
      <c r="V2" s="205" t="s">
        <v>188</v>
      </c>
      <c r="W2" s="71" t="s">
        <v>0</v>
      </c>
    </row>
    <row r="3" spans="12:23" ht="15">
      <c r="L3" s="71" t="s">
        <v>0</v>
      </c>
      <c r="N3" s="204" t="s">
        <v>63</v>
      </c>
      <c r="O3" s="204" t="s">
        <v>348</v>
      </c>
      <c r="P3" s="204" t="s">
        <v>381</v>
      </c>
      <c r="Q3" s="204" t="s">
        <v>383</v>
      </c>
      <c r="R3" s="204" t="s">
        <v>387</v>
      </c>
      <c r="S3" s="204" t="s">
        <v>301</v>
      </c>
      <c r="T3" s="204" t="s">
        <v>387</v>
      </c>
      <c r="U3" s="205" t="s">
        <v>189</v>
      </c>
      <c r="V3" s="205" t="s">
        <v>189</v>
      </c>
      <c r="W3" s="71" t="s">
        <v>0</v>
      </c>
    </row>
    <row r="4" spans="2:23" ht="15">
      <c r="B4" s="74"/>
      <c r="C4" s="58" t="s">
        <v>73</v>
      </c>
      <c r="D4" s="74"/>
      <c r="E4" s="156"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F4" s="74"/>
      <c r="K4" s="27" t="str">
        <f>HYPERLINK("#'P.index'!D11","&gt;&gt; goto index")</f>
        <v>&gt;&gt; goto index</v>
      </c>
      <c r="L4" s="71" t="s">
        <v>0</v>
      </c>
      <c r="O4" s="204" t="s">
        <v>349</v>
      </c>
      <c r="P4" s="204" t="s">
        <v>350</v>
      </c>
      <c r="Q4" s="204" t="s">
        <v>384</v>
      </c>
      <c r="R4" s="204" t="s">
        <v>350</v>
      </c>
      <c r="S4" s="360" t="s">
        <v>495</v>
      </c>
      <c r="T4" s="204" t="s">
        <v>390</v>
      </c>
      <c r="U4" s="205" t="s">
        <v>194</v>
      </c>
      <c r="V4" s="205" t="s">
        <v>195</v>
      </c>
      <c r="W4" s="71" t="s">
        <v>0</v>
      </c>
    </row>
    <row r="5" spans="2:23" ht="15">
      <c r="B5" s="74"/>
      <c r="C5" s="59" t="s">
        <v>74</v>
      </c>
      <c r="D5" s="74"/>
      <c r="E5" s="74"/>
      <c r="F5" s="74"/>
      <c r="L5" s="71" t="s">
        <v>0</v>
      </c>
      <c r="O5" s="204" t="s">
        <v>350</v>
      </c>
      <c r="P5" s="277"/>
      <c r="Q5" s="204" t="s">
        <v>385</v>
      </c>
      <c r="R5" s="277"/>
      <c r="S5" s="277"/>
      <c r="T5" s="277"/>
      <c r="U5" s="205" t="s">
        <v>193</v>
      </c>
      <c r="V5" s="205" t="s">
        <v>191</v>
      </c>
      <c r="W5" s="71" t="s">
        <v>0</v>
      </c>
    </row>
    <row r="6" spans="2:23" ht="15" customHeight="1">
      <c r="B6" s="74"/>
      <c r="C6" s="206"/>
      <c r="D6" s="206"/>
      <c r="E6" s="74"/>
      <c r="F6" s="74"/>
      <c r="L6" s="71" t="s">
        <v>0</v>
      </c>
      <c r="Q6" s="204" t="s">
        <v>350</v>
      </c>
      <c r="U6" s="205" t="s">
        <v>192</v>
      </c>
      <c r="V6" s="205" t="s">
        <v>76</v>
      </c>
      <c r="W6" s="71" t="s">
        <v>0</v>
      </c>
    </row>
    <row r="7" spans="2:23" s="51" customFormat="1" ht="15" customHeight="1">
      <c r="B7" s="74"/>
      <c r="C7" s="206"/>
      <c r="D7" s="206"/>
      <c r="E7" s="74"/>
      <c r="F7" s="74"/>
      <c r="J7" s="73"/>
      <c r="K7" s="73"/>
      <c r="L7" s="71" t="s">
        <v>0</v>
      </c>
      <c r="U7" s="205" t="s">
        <v>191</v>
      </c>
      <c r="V7" s="205" t="s">
        <v>190</v>
      </c>
      <c r="W7" s="71" t="s">
        <v>0</v>
      </c>
    </row>
    <row r="8" spans="2:23" s="51" customFormat="1" ht="4.5" customHeight="1">
      <c r="B8" s="74"/>
      <c r="C8" s="206"/>
      <c r="D8" s="206"/>
      <c r="E8" s="74"/>
      <c r="F8" s="74"/>
      <c r="J8" s="73"/>
      <c r="K8" s="73"/>
      <c r="L8" s="71" t="s">
        <v>0</v>
      </c>
      <c r="U8" s="205" t="s">
        <v>76</v>
      </c>
      <c r="V8" s="138"/>
      <c r="W8" s="71" t="s">
        <v>0</v>
      </c>
    </row>
    <row r="9" spans="2:23" s="51" customFormat="1" ht="18.75" customHeight="1">
      <c r="B9" s="74"/>
      <c r="C9" s="297" t="s">
        <v>427</v>
      </c>
      <c r="D9" s="298"/>
      <c r="E9" s="298"/>
      <c r="F9" s="298"/>
      <c r="G9" s="298"/>
      <c r="H9" s="298"/>
      <c r="I9" s="298"/>
      <c r="J9" s="372"/>
      <c r="K9" s="299"/>
      <c r="L9" s="71" t="s">
        <v>0</v>
      </c>
      <c r="U9" s="138"/>
      <c r="V9" s="138"/>
      <c r="W9" s="71" t="s">
        <v>0</v>
      </c>
    </row>
    <row r="10" spans="2:23" s="51" customFormat="1" ht="4.5" customHeight="1">
      <c r="B10" s="74"/>
      <c r="C10" s="206"/>
      <c r="D10" s="206"/>
      <c r="E10" s="74"/>
      <c r="F10" s="74"/>
      <c r="J10" s="73"/>
      <c r="K10" s="73"/>
      <c r="L10" s="71" t="s">
        <v>0</v>
      </c>
      <c r="W10" s="71" t="s">
        <v>0</v>
      </c>
    </row>
    <row r="11" spans="2:23" s="51" customFormat="1" ht="15" customHeight="1">
      <c r="B11" s="74"/>
      <c r="C11" s="206"/>
      <c r="D11" s="206"/>
      <c r="E11" s="74"/>
      <c r="F11" s="74"/>
      <c r="J11" s="73"/>
      <c r="K11" s="73"/>
      <c r="L11" s="71" t="s">
        <v>0</v>
      </c>
      <c r="W11" s="71" t="s">
        <v>0</v>
      </c>
    </row>
    <row r="12" spans="2:23" s="51" customFormat="1" ht="4.5" customHeight="1">
      <c r="B12" s="74"/>
      <c r="C12" s="206"/>
      <c r="D12" s="206"/>
      <c r="E12" s="74"/>
      <c r="F12" s="74"/>
      <c r="J12" s="73"/>
      <c r="K12" s="73"/>
      <c r="L12" s="71" t="s">
        <v>0</v>
      </c>
      <c r="W12" s="71" t="s">
        <v>0</v>
      </c>
    </row>
    <row r="13" spans="2:23" s="51" customFormat="1" ht="15" customHeight="1">
      <c r="B13" s="74"/>
      <c r="C13" s="463" t="s">
        <v>428</v>
      </c>
      <c r="D13" s="464"/>
      <c r="E13" s="464"/>
      <c r="F13" s="464"/>
      <c r="G13" s="464"/>
      <c r="H13" s="464"/>
      <c r="I13" s="464"/>
      <c r="J13" s="464"/>
      <c r="K13" s="371"/>
      <c r="L13" s="71" t="s">
        <v>0</v>
      </c>
      <c r="W13" s="71" t="s">
        <v>0</v>
      </c>
    </row>
    <row r="14" spans="2:23" s="51" customFormat="1" ht="4.5" customHeight="1">
      <c r="B14" s="74"/>
      <c r="C14" s="206"/>
      <c r="D14" s="206"/>
      <c r="E14" s="74"/>
      <c r="F14" s="74"/>
      <c r="J14" s="73"/>
      <c r="K14" s="73"/>
      <c r="L14" s="71" t="s">
        <v>0</v>
      </c>
      <c r="W14" s="71" t="s">
        <v>0</v>
      </c>
    </row>
    <row r="15" spans="2:23" s="51" customFormat="1" ht="33" customHeight="1">
      <c r="B15" s="74"/>
      <c r="C15" s="454" t="s">
        <v>429</v>
      </c>
      <c r="D15" s="455"/>
      <c r="E15" s="456"/>
      <c r="F15" s="226" t="s">
        <v>9</v>
      </c>
      <c r="J15" s="73"/>
      <c r="K15" s="73"/>
      <c r="L15" s="71" t="s">
        <v>0</v>
      </c>
      <c r="W15" s="71" t="s">
        <v>0</v>
      </c>
    </row>
    <row r="16" spans="2:23" s="51" customFormat="1" ht="4.5" customHeight="1">
      <c r="B16" s="74"/>
      <c r="C16" s="206"/>
      <c r="D16" s="206"/>
      <c r="E16" s="74"/>
      <c r="F16" s="74"/>
      <c r="J16" s="73"/>
      <c r="K16" s="73"/>
      <c r="L16" s="71" t="s">
        <v>0</v>
      </c>
      <c r="W16" s="71" t="s">
        <v>0</v>
      </c>
    </row>
    <row r="17" spans="2:23" s="51" customFormat="1" ht="60" customHeight="1">
      <c r="B17" s="74"/>
      <c r="C17" s="454" t="s">
        <v>458</v>
      </c>
      <c r="D17" s="455"/>
      <c r="E17" s="456"/>
      <c r="F17" s="3" t="s">
        <v>459</v>
      </c>
      <c r="G17" s="3" t="str">
        <f>"Technical provisions, "&amp;Participant!D13&amp;", "&amp;Participant!D14</f>
        <v>Technical provisions, -, -</v>
      </c>
      <c r="J17" s="73"/>
      <c r="K17" s="73"/>
      <c r="L17" s="71" t="s">
        <v>0</v>
      </c>
      <c r="W17" s="71" t="s">
        <v>0</v>
      </c>
    </row>
    <row r="18" spans="2:23" s="51" customFormat="1" ht="15" customHeight="1">
      <c r="B18" s="74"/>
      <c r="C18" s="465" t="s">
        <v>430</v>
      </c>
      <c r="D18" s="466"/>
      <c r="E18" s="467"/>
      <c r="F18" s="418" t="s">
        <v>9</v>
      </c>
      <c r="G18" s="422" t="s">
        <v>9</v>
      </c>
      <c r="J18" s="73"/>
      <c r="K18" s="73"/>
      <c r="L18" s="71" t="s">
        <v>0</v>
      </c>
      <c r="W18" s="71" t="s">
        <v>0</v>
      </c>
    </row>
    <row r="19" spans="2:23" s="51" customFormat="1" ht="15" customHeight="1">
      <c r="B19" s="74"/>
      <c r="C19" s="468" t="s">
        <v>431</v>
      </c>
      <c r="D19" s="469"/>
      <c r="E19" s="470"/>
      <c r="F19" s="418" t="s">
        <v>9</v>
      </c>
      <c r="G19" s="418" t="s">
        <v>9</v>
      </c>
      <c r="J19" s="73"/>
      <c r="K19" s="73"/>
      <c r="L19" s="71" t="s">
        <v>0</v>
      </c>
      <c r="W19" s="71" t="s">
        <v>0</v>
      </c>
    </row>
    <row r="20" spans="2:23" s="51" customFormat="1" ht="15" customHeight="1">
      <c r="B20" s="74"/>
      <c r="C20" s="468" t="s">
        <v>432</v>
      </c>
      <c r="D20" s="469"/>
      <c r="E20" s="470"/>
      <c r="F20" s="418" t="s">
        <v>9</v>
      </c>
      <c r="G20" s="418" t="s">
        <v>9</v>
      </c>
      <c r="J20" s="73"/>
      <c r="K20" s="73"/>
      <c r="L20" s="71" t="s">
        <v>0</v>
      </c>
      <c r="W20" s="71" t="s">
        <v>0</v>
      </c>
    </row>
    <row r="21" spans="2:23" s="51" customFormat="1" ht="15" customHeight="1">
      <c r="B21" s="74"/>
      <c r="C21" s="471" t="s">
        <v>433</v>
      </c>
      <c r="D21" s="472"/>
      <c r="E21" s="473"/>
      <c r="F21" s="353" t="s">
        <v>9</v>
      </c>
      <c r="G21" s="353" t="s">
        <v>9</v>
      </c>
      <c r="J21" s="73"/>
      <c r="K21" s="73"/>
      <c r="L21" s="71" t="s">
        <v>0</v>
      </c>
      <c r="W21" s="71" t="s">
        <v>0</v>
      </c>
    </row>
    <row r="22" spans="2:23" s="51" customFormat="1" ht="4.5" customHeight="1">
      <c r="B22" s="74"/>
      <c r="C22" s="206"/>
      <c r="D22" s="206"/>
      <c r="E22" s="74"/>
      <c r="F22" s="74"/>
      <c r="J22" s="73"/>
      <c r="K22" s="73"/>
      <c r="L22" s="71" t="s">
        <v>0</v>
      </c>
      <c r="W22" s="71" t="s">
        <v>0</v>
      </c>
    </row>
    <row r="23" spans="2:23" s="51" customFormat="1" ht="45" customHeight="1">
      <c r="B23" s="74"/>
      <c r="C23" s="454" t="s">
        <v>457</v>
      </c>
      <c r="D23" s="455"/>
      <c r="E23" s="456"/>
      <c r="F23" s="3" t="s">
        <v>130</v>
      </c>
      <c r="G23" s="3" t="s">
        <v>131</v>
      </c>
      <c r="H23" s="3" t="s">
        <v>132</v>
      </c>
      <c r="I23" s="3" t="s">
        <v>76</v>
      </c>
      <c r="J23" s="73"/>
      <c r="K23" s="73"/>
      <c r="L23" s="71" t="s">
        <v>0</v>
      </c>
      <c r="W23" s="71" t="s">
        <v>0</v>
      </c>
    </row>
    <row r="24" spans="2:23" s="51" customFormat="1" ht="15" customHeight="1">
      <c r="B24" s="74"/>
      <c r="C24" s="465" t="s">
        <v>129</v>
      </c>
      <c r="D24" s="466"/>
      <c r="E24" s="467"/>
      <c r="F24" s="215" t="s">
        <v>9</v>
      </c>
      <c r="G24" s="215" t="s">
        <v>9</v>
      </c>
      <c r="H24" s="215" t="s">
        <v>9</v>
      </c>
      <c r="I24" s="215" t="s">
        <v>9</v>
      </c>
      <c r="J24" s="73"/>
      <c r="K24" s="73"/>
      <c r="L24" s="71" t="s">
        <v>0</v>
      </c>
      <c r="W24" s="71" t="s">
        <v>0</v>
      </c>
    </row>
    <row r="25" spans="2:23" s="51" customFormat="1" ht="15" customHeight="1">
      <c r="B25" s="74"/>
      <c r="C25" s="474" t="s">
        <v>76</v>
      </c>
      <c r="D25" s="475"/>
      <c r="E25" s="476"/>
      <c r="F25" s="214" t="s">
        <v>9</v>
      </c>
      <c r="G25" s="214" t="s">
        <v>9</v>
      </c>
      <c r="H25" s="214" t="s">
        <v>9</v>
      </c>
      <c r="I25" s="214" t="s">
        <v>9</v>
      </c>
      <c r="J25" s="73"/>
      <c r="K25" s="73"/>
      <c r="L25" s="71" t="s">
        <v>0</v>
      </c>
      <c r="W25" s="71" t="s">
        <v>0</v>
      </c>
    </row>
    <row r="26" spans="2:23" s="51" customFormat="1" ht="4.5" customHeight="1">
      <c r="B26" s="74"/>
      <c r="C26" s="206"/>
      <c r="D26" s="206"/>
      <c r="E26" s="74"/>
      <c r="F26" s="74"/>
      <c r="J26" s="73"/>
      <c r="K26" s="73"/>
      <c r="L26" s="71" t="s">
        <v>0</v>
      </c>
      <c r="W26" s="71" t="s">
        <v>0</v>
      </c>
    </row>
    <row r="27" spans="2:23" s="51" customFormat="1" ht="15" customHeight="1">
      <c r="B27" s="74"/>
      <c r="C27" s="454" t="s">
        <v>434</v>
      </c>
      <c r="D27" s="455"/>
      <c r="E27" s="456"/>
      <c r="F27" s="3" t="s">
        <v>128</v>
      </c>
      <c r="J27" s="73"/>
      <c r="K27" s="73"/>
      <c r="L27" s="71" t="s">
        <v>0</v>
      </c>
      <c r="W27" s="71" t="s">
        <v>0</v>
      </c>
    </row>
    <row r="28" spans="2:23" s="51" customFormat="1" ht="15" customHeight="1">
      <c r="B28" s="74"/>
      <c r="C28" s="465" t="s">
        <v>285</v>
      </c>
      <c r="D28" s="466"/>
      <c r="E28" s="467"/>
      <c r="F28" s="215" t="s">
        <v>9</v>
      </c>
      <c r="J28" s="73"/>
      <c r="K28" s="73"/>
      <c r="L28" s="71" t="s">
        <v>0</v>
      </c>
      <c r="W28" s="71" t="s">
        <v>0</v>
      </c>
    </row>
    <row r="29" spans="2:23" s="51" customFormat="1" ht="15" customHeight="1">
      <c r="B29" s="74"/>
      <c r="C29" s="477" t="s">
        <v>286</v>
      </c>
      <c r="D29" s="478"/>
      <c r="E29" s="479"/>
      <c r="F29" s="211" t="s">
        <v>9</v>
      </c>
      <c r="J29" s="73"/>
      <c r="K29" s="73"/>
      <c r="L29" s="71" t="s">
        <v>0</v>
      </c>
      <c r="W29" s="71" t="s">
        <v>0</v>
      </c>
    </row>
    <row r="30" spans="2:23" s="51" customFormat="1" ht="15" customHeight="1">
      <c r="B30" s="74"/>
      <c r="C30" s="477" t="s">
        <v>435</v>
      </c>
      <c r="D30" s="478"/>
      <c r="E30" s="479"/>
      <c r="F30" s="211" t="s">
        <v>9</v>
      </c>
      <c r="J30" s="73"/>
      <c r="K30" s="73"/>
      <c r="L30" s="71" t="s">
        <v>0</v>
      </c>
      <c r="W30" s="71" t="s">
        <v>0</v>
      </c>
    </row>
    <row r="31" spans="2:23" s="51" customFormat="1" ht="15" customHeight="1">
      <c r="B31" s="74"/>
      <c r="C31" s="477" t="s">
        <v>79</v>
      </c>
      <c r="D31" s="478"/>
      <c r="E31" s="479"/>
      <c r="F31" s="211" t="s">
        <v>9</v>
      </c>
      <c r="J31" s="73"/>
      <c r="K31" s="73"/>
      <c r="L31" s="71" t="s">
        <v>0</v>
      </c>
      <c r="W31" s="71" t="s">
        <v>0</v>
      </c>
    </row>
    <row r="32" spans="2:23" s="51" customFormat="1" ht="15" customHeight="1">
      <c r="B32" s="74"/>
      <c r="C32" s="342" t="s">
        <v>140</v>
      </c>
      <c r="D32" s="340"/>
      <c r="E32" s="341"/>
      <c r="F32" s="211" t="s">
        <v>9</v>
      </c>
      <c r="J32" s="73"/>
      <c r="K32" s="73"/>
      <c r="L32" s="71" t="s">
        <v>0</v>
      </c>
      <c r="W32" s="71" t="s">
        <v>0</v>
      </c>
    </row>
    <row r="33" spans="2:23" s="51" customFormat="1" ht="15" customHeight="1">
      <c r="B33" s="74"/>
      <c r="C33" s="474" t="s">
        <v>92</v>
      </c>
      <c r="D33" s="475"/>
      <c r="E33" s="476"/>
      <c r="F33" s="214" t="s">
        <v>9</v>
      </c>
      <c r="J33" s="73"/>
      <c r="K33" s="73"/>
      <c r="L33" s="71" t="s">
        <v>0</v>
      </c>
      <c r="W33" s="71" t="s">
        <v>0</v>
      </c>
    </row>
    <row r="34" spans="2:23" s="51" customFormat="1" ht="4.5" customHeight="1">
      <c r="B34" s="74"/>
      <c r="C34" s="206"/>
      <c r="D34" s="206"/>
      <c r="E34" s="74"/>
      <c r="F34" s="74"/>
      <c r="J34" s="73"/>
      <c r="K34" s="73"/>
      <c r="L34" s="71" t="s">
        <v>0</v>
      </c>
      <c r="W34" s="71" t="s">
        <v>0</v>
      </c>
    </row>
    <row r="35" spans="2:23" s="51" customFormat="1" ht="15" customHeight="1">
      <c r="B35" s="74"/>
      <c r="C35" s="454" t="s">
        <v>436</v>
      </c>
      <c r="D35" s="455"/>
      <c r="E35" s="456"/>
      <c r="F35" s="3" t="s">
        <v>128</v>
      </c>
      <c r="J35" s="73"/>
      <c r="K35" s="73"/>
      <c r="L35" s="71" t="s">
        <v>0</v>
      </c>
      <c r="W35" s="71" t="s">
        <v>0</v>
      </c>
    </row>
    <row r="36" spans="2:23" s="51" customFormat="1" ht="15" customHeight="1">
      <c r="B36" s="74"/>
      <c r="C36" s="465" t="s">
        <v>133</v>
      </c>
      <c r="D36" s="466"/>
      <c r="E36" s="467"/>
      <c r="F36" s="215" t="s">
        <v>9</v>
      </c>
      <c r="J36" s="73"/>
      <c r="K36" s="73"/>
      <c r="L36" s="71" t="s">
        <v>0</v>
      </c>
      <c r="W36" s="71" t="s">
        <v>0</v>
      </c>
    </row>
    <row r="37" spans="2:23" s="51" customFormat="1" ht="15" customHeight="1">
      <c r="B37" s="74"/>
      <c r="C37" s="477" t="s">
        <v>141</v>
      </c>
      <c r="D37" s="478"/>
      <c r="E37" s="479"/>
      <c r="F37" s="211" t="s">
        <v>9</v>
      </c>
      <c r="J37" s="73"/>
      <c r="K37" s="73"/>
      <c r="L37" s="71" t="s">
        <v>0</v>
      </c>
      <c r="W37" s="71" t="s">
        <v>0</v>
      </c>
    </row>
    <row r="38" spans="2:23" s="51" customFormat="1" ht="15" customHeight="1">
      <c r="B38" s="74"/>
      <c r="C38" s="477" t="s">
        <v>142</v>
      </c>
      <c r="D38" s="478"/>
      <c r="E38" s="479"/>
      <c r="F38" s="211" t="s">
        <v>9</v>
      </c>
      <c r="J38" s="73"/>
      <c r="K38" s="73"/>
      <c r="L38" s="71" t="s">
        <v>0</v>
      </c>
      <c r="W38" s="71" t="s">
        <v>0</v>
      </c>
    </row>
    <row r="39" spans="2:23" s="51" customFormat="1" ht="15" customHeight="1">
      <c r="B39" s="74"/>
      <c r="C39" s="477" t="s">
        <v>93</v>
      </c>
      <c r="D39" s="478"/>
      <c r="E39" s="479"/>
      <c r="F39" s="211" t="s">
        <v>9</v>
      </c>
      <c r="J39" s="73"/>
      <c r="K39" s="73"/>
      <c r="L39" s="71" t="s">
        <v>0</v>
      </c>
      <c r="W39" s="71" t="s">
        <v>0</v>
      </c>
    </row>
    <row r="40" spans="2:23" s="51" customFormat="1" ht="15" customHeight="1">
      <c r="B40" s="74"/>
      <c r="C40" s="477" t="s">
        <v>77</v>
      </c>
      <c r="D40" s="478"/>
      <c r="E40" s="479"/>
      <c r="F40" s="211" t="s">
        <v>9</v>
      </c>
      <c r="J40" s="73"/>
      <c r="K40" s="73"/>
      <c r="L40" s="71" t="s">
        <v>0</v>
      </c>
      <c r="W40" s="71" t="s">
        <v>0</v>
      </c>
    </row>
    <row r="41" spans="2:23" s="51" customFormat="1" ht="15" customHeight="1">
      <c r="B41" s="74"/>
      <c r="C41" s="474" t="s">
        <v>92</v>
      </c>
      <c r="D41" s="475"/>
      <c r="E41" s="476"/>
      <c r="F41" s="214" t="s">
        <v>9</v>
      </c>
      <c r="J41" s="73"/>
      <c r="K41" s="73"/>
      <c r="L41" s="71" t="s">
        <v>0</v>
      </c>
      <c r="W41" s="71" t="s">
        <v>0</v>
      </c>
    </row>
    <row r="42" spans="2:23" s="51" customFormat="1" ht="4.5" customHeight="1">
      <c r="B42" s="74"/>
      <c r="C42" s="206"/>
      <c r="D42" s="206"/>
      <c r="E42" s="74"/>
      <c r="F42" s="74"/>
      <c r="J42" s="73"/>
      <c r="K42" s="73"/>
      <c r="L42" s="71" t="s">
        <v>0</v>
      </c>
      <c r="W42" s="71" t="s">
        <v>0</v>
      </c>
    </row>
    <row r="43" spans="2:23" s="51" customFormat="1" ht="15" customHeight="1">
      <c r="B43" s="74"/>
      <c r="C43" s="454" t="s">
        <v>437</v>
      </c>
      <c r="D43" s="455"/>
      <c r="E43" s="456"/>
      <c r="F43" s="3" t="s">
        <v>128</v>
      </c>
      <c r="J43" s="73"/>
      <c r="K43" s="73"/>
      <c r="L43" s="71" t="s">
        <v>0</v>
      </c>
      <c r="W43" s="71" t="s">
        <v>0</v>
      </c>
    </row>
    <row r="44" spans="2:23" s="51" customFormat="1" ht="15" customHeight="1">
      <c r="B44" s="74"/>
      <c r="C44" s="465" t="s">
        <v>134</v>
      </c>
      <c r="D44" s="466"/>
      <c r="E44" s="467"/>
      <c r="F44" s="215" t="s">
        <v>9</v>
      </c>
      <c r="J44" s="73"/>
      <c r="K44" s="73"/>
      <c r="L44" s="71" t="s">
        <v>0</v>
      </c>
      <c r="W44" s="71" t="s">
        <v>0</v>
      </c>
    </row>
    <row r="45" spans="2:23" s="51" customFormat="1" ht="15" customHeight="1">
      <c r="B45" s="74"/>
      <c r="C45" s="477" t="s">
        <v>135</v>
      </c>
      <c r="D45" s="478"/>
      <c r="E45" s="479"/>
      <c r="F45" s="211" t="s">
        <v>9</v>
      </c>
      <c r="J45" s="73"/>
      <c r="K45" s="73"/>
      <c r="L45" s="71" t="s">
        <v>0</v>
      </c>
      <c r="W45" s="71" t="s">
        <v>0</v>
      </c>
    </row>
    <row r="46" spans="2:23" s="51" customFormat="1" ht="15" customHeight="1">
      <c r="B46" s="74"/>
      <c r="C46" s="477" t="s">
        <v>136</v>
      </c>
      <c r="D46" s="478"/>
      <c r="E46" s="479"/>
      <c r="F46" s="211" t="s">
        <v>9</v>
      </c>
      <c r="J46" s="73"/>
      <c r="K46" s="73"/>
      <c r="L46" s="71" t="s">
        <v>0</v>
      </c>
      <c r="W46" s="71" t="s">
        <v>0</v>
      </c>
    </row>
    <row r="47" spans="2:23" s="51" customFormat="1" ht="15" customHeight="1">
      <c r="B47" s="74"/>
      <c r="C47" s="477" t="s">
        <v>137</v>
      </c>
      <c r="D47" s="478"/>
      <c r="E47" s="479"/>
      <c r="F47" s="211" t="s">
        <v>9</v>
      </c>
      <c r="J47" s="73"/>
      <c r="K47" s="73"/>
      <c r="L47" s="71" t="s">
        <v>0</v>
      </c>
      <c r="W47" s="71" t="s">
        <v>0</v>
      </c>
    </row>
    <row r="48" spans="2:23" s="51" customFormat="1" ht="15" customHeight="1">
      <c r="B48" s="74"/>
      <c r="C48" s="477" t="s">
        <v>138</v>
      </c>
      <c r="D48" s="478"/>
      <c r="E48" s="479"/>
      <c r="F48" s="211" t="s">
        <v>9</v>
      </c>
      <c r="J48" s="73"/>
      <c r="K48" s="73"/>
      <c r="L48" s="71" t="s">
        <v>0</v>
      </c>
      <c r="W48" s="71" t="s">
        <v>0</v>
      </c>
    </row>
    <row r="49" spans="2:23" s="51" customFormat="1" ht="15" customHeight="1">
      <c r="B49" s="74"/>
      <c r="C49" s="474" t="s">
        <v>92</v>
      </c>
      <c r="D49" s="475"/>
      <c r="E49" s="476"/>
      <c r="F49" s="214" t="s">
        <v>9</v>
      </c>
      <c r="J49" s="73"/>
      <c r="K49" s="73"/>
      <c r="L49" s="71" t="s">
        <v>0</v>
      </c>
      <c r="W49" s="71" t="s">
        <v>0</v>
      </c>
    </row>
    <row r="50" spans="2:23" s="51" customFormat="1" ht="4.5" customHeight="1">
      <c r="B50" s="74"/>
      <c r="F50" s="74"/>
      <c r="J50" s="73"/>
      <c r="K50" s="73"/>
      <c r="L50" s="71" t="s">
        <v>0</v>
      </c>
      <c r="W50" s="71" t="s">
        <v>0</v>
      </c>
    </row>
    <row r="51" spans="2:23" s="51" customFormat="1" ht="15" customHeight="1">
      <c r="B51" s="74"/>
      <c r="C51" s="206"/>
      <c r="D51" s="206"/>
      <c r="E51" s="74"/>
      <c r="F51" s="74"/>
      <c r="J51" s="73"/>
      <c r="K51" s="73"/>
      <c r="L51" s="71" t="s">
        <v>0</v>
      </c>
      <c r="W51" s="71" t="s">
        <v>0</v>
      </c>
    </row>
    <row r="52" spans="2:23" s="51" customFormat="1" ht="4.5" customHeight="1">
      <c r="B52" s="74"/>
      <c r="C52" s="206"/>
      <c r="D52" s="206"/>
      <c r="E52" s="74"/>
      <c r="F52" s="74"/>
      <c r="J52" s="73"/>
      <c r="K52" s="73"/>
      <c r="L52" s="71" t="s">
        <v>0</v>
      </c>
      <c r="W52" s="71" t="s">
        <v>0</v>
      </c>
    </row>
    <row r="53" spans="2:23" s="51" customFormat="1" ht="18.75">
      <c r="B53" s="74"/>
      <c r="C53" s="297" t="s">
        <v>324</v>
      </c>
      <c r="D53" s="298"/>
      <c r="E53" s="298"/>
      <c r="F53" s="298"/>
      <c r="G53" s="298"/>
      <c r="H53" s="298"/>
      <c r="I53" s="298"/>
      <c r="J53" s="372"/>
      <c r="K53" s="299"/>
      <c r="L53" s="71" t="s">
        <v>0</v>
      </c>
      <c r="W53" s="71" t="s">
        <v>0</v>
      </c>
    </row>
    <row r="54" spans="2:23" s="51" customFormat="1" ht="4.5" customHeight="1">
      <c r="B54" s="74"/>
      <c r="C54" s="300"/>
      <c r="D54" s="15"/>
      <c r="E54" s="15"/>
      <c r="F54" s="15"/>
      <c r="G54" s="15"/>
      <c r="H54" s="15"/>
      <c r="I54" s="15"/>
      <c r="J54" s="208"/>
      <c r="K54" s="208"/>
      <c r="L54" s="71" t="s">
        <v>0</v>
      </c>
      <c r="W54" s="71" t="s">
        <v>0</v>
      </c>
    </row>
    <row r="55" spans="2:23" s="51" customFormat="1" ht="18.75">
      <c r="B55" s="74"/>
      <c r="C55" s="300"/>
      <c r="D55" s="15"/>
      <c r="E55" s="15"/>
      <c r="F55" s="15"/>
      <c r="G55" s="15"/>
      <c r="H55" s="15"/>
      <c r="I55" s="15"/>
      <c r="J55" s="208"/>
      <c r="K55" s="208"/>
      <c r="L55" s="71" t="s">
        <v>0</v>
      </c>
      <c r="W55" s="71" t="s">
        <v>0</v>
      </c>
    </row>
    <row r="56" spans="2:23" s="51" customFormat="1" ht="4.5" customHeight="1">
      <c r="B56" s="74"/>
      <c r="C56" s="206"/>
      <c r="D56" s="206"/>
      <c r="E56" s="74"/>
      <c r="F56" s="74"/>
      <c r="J56" s="73"/>
      <c r="K56" s="73"/>
      <c r="L56" s="71" t="s">
        <v>0</v>
      </c>
      <c r="W56" s="71" t="s">
        <v>0</v>
      </c>
    </row>
    <row r="57" spans="2:23" s="51" customFormat="1" ht="15" customHeight="1">
      <c r="B57" s="74"/>
      <c r="C57" s="157" t="s">
        <v>325</v>
      </c>
      <c r="D57" s="4"/>
      <c r="E57" s="4"/>
      <c r="F57" s="4"/>
      <c r="G57" s="4"/>
      <c r="H57" s="4"/>
      <c r="I57" s="4"/>
      <c r="J57" s="373"/>
      <c r="K57" s="207"/>
      <c r="L57" s="71" t="s">
        <v>0</v>
      </c>
      <c r="W57" s="71" t="s">
        <v>0</v>
      </c>
    </row>
    <row r="58" spans="2:23" s="51" customFormat="1" ht="4.5" customHeight="1">
      <c r="B58" s="74"/>
      <c r="C58" s="206"/>
      <c r="D58" s="206"/>
      <c r="E58" s="74"/>
      <c r="F58" s="74"/>
      <c r="J58" s="73"/>
      <c r="K58" s="73"/>
      <c r="L58" s="71" t="s">
        <v>0</v>
      </c>
      <c r="W58" s="71" t="s">
        <v>0</v>
      </c>
    </row>
    <row r="59" spans="2:23" s="51" customFormat="1" ht="30" customHeight="1">
      <c r="B59" s="74"/>
      <c r="C59" s="454" t="s">
        <v>438</v>
      </c>
      <c r="D59" s="455"/>
      <c r="E59" s="456"/>
      <c r="F59" s="3" t="s">
        <v>128</v>
      </c>
      <c r="J59" s="73"/>
      <c r="K59" s="73"/>
      <c r="L59" s="71" t="s">
        <v>0</v>
      </c>
      <c r="W59" s="71" t="s">
        <v>0</v>
      </c>
    </row>
    <row r="60" spans="2:23" s="51" customFormat="1" ht="15" customHeight="1">
      <c r="B60" s="74"/>
      <c r="C60" s="355" t="s">
        <v>460</v>
      </c>
      <c r="D60" s="19"/>
      <c r="E60" s="19"/>
      <c r="F60" s="211" t="s">
        <v>9</v>
      </c>
      <c r="J60" s="73"/>
      <c r="K60" s="73"/>
      <c r="L60" s="71" t="s">
        <v>0</v>
      </c>
      <c r="W60" s="71" t="s">
        <v>0</v>
      </c>
    </row>
    <row r="61" spans="2:23" s="51" customFormat="1" ht="15" customHeight="1">
      <c r="B61" s="74"/>
      <c r="C61" s="356" t="s">
        <v>461</v>
      </c>
      <c r="D61" s="16"/>
      <c r="E61" s="16"/>
      <c r="F61" s="211" t="s">
        <v>9</v>
      </c>
      <c r="J61" s="73"/>
      <c r="K61" s="73"/>
      <c r="L61" s="71" t="s">
        <v>0</v>
      </c>
      <c r="W61" s="71" t="s">
        <v>0</v>
      </c>
    </row>
    <row r="62" spans="2:23" s="51" customFormat="1" ht="15" customHeight="1">
      <c r="B62" s="74"/>
      <c r="C62" s="356" t="s">
        <v>462</v>
      </c>
      <c r="D62" s="16"/>
      <c r="E62" s="16"/>
      <c r="F62" s="211" t="s">
        <v>9</v>
      </c>
      <c r="J62" s="73"/>
      <c r="K62" s="73"/>
      <c r="L62" s="71" t="s">
        <v>0</v>
      </c>
      <c r="W62" s="71" t="s">
        <v>0</v>
      </c>
    </row>
    <row r="63" spans="2:23" s="51" customFormat="1" ht="15" customHeight="1">
      <c r="B63" s="74"/>
      <c r="C63" s="292" t="s">
        <v>326</v>
      </c>
      <c r="D63" s="16"/>
      <c r="E63" s="16"/>
      <c r="F63" s="211" t="s">
        <v>9</v>
      </c>
      <c r="J63" s="73"/>
      <c r="K63" s="73"/>
      <c r="L63" s="71" t="s">
        <v>0</v>
      </c>
      <c r="W63" s="71" t="s">
        <v>0</v>
      </c>
    </row>
    <row r="64" spans="2:23" s="51" customFormat="1" ht="15" customHeight="1">
      <c r="B64" s="74"/>
      <c r="C64" s="292" t="s">
        <v>327</v>
      </c>
      <c r="D64" s="16"/>
      <c r="E64" s="16"/>
      <c r="F64" s="211" t="s">
        <v>9</v>
      </c>
      <c r="J64" s="73"/>
      <c r="K64" s="73"/>
      <c r="L64" s="71" t="s">
        <v>0</v>
      </c>
      <c r="W64" s="71" t="s">
        <v>0</v>
      </c>
    </row>
    <row r="65" spans="2:23" s="51" customFormat="1" ht="15" customHeight="1">
      <c r="B65" s="74"/>
      <c r="C65" s="293" t="s">
        <v>328</v>
      </c>
      <c r="D65" s="213"/>
      <c r="E65" s="213"/>
      <c r="F65" s="214" t="s">
        <v>9</v>
      </c>
      <c r="J65" s="73"/>
      <c r="K65" s="73"/>
      <c r="L65" s="71" t="s">
        <v>0</v>
      </c>
      <c r="W65" s="71" t="s">
        <v>0</v>
      </c>
    </row>
    <row r="66" spans="1:23" s="51" customFormat="1" ht="4.5" customHeight="1">
      <c r="A66"/>
      <c r="B66"/>
      <c r="C66"/>
      <c r="D66"/>
      <c r="E66"/>
      <c r="F66"/>
      <c r="J66" s="73"/>
      <c r="K66" s="73"/>
      <c r="L66" s="71" t="s">
        <v>0</v>
      </c>
      <c r="W66" s="71" t="s">
        <v>0</v>
      </c>
    </row>
    <row r="67" spans="1:23" s="51" customFormat="1" ht="45" customHeight="1">
      <c r="A67"/>
      <c r="B67"/>
      <c r="C67" s="454" t="s">
        <v>465</v>
      </c>
      <c r="D67" s="455"/>
      <c r="E67" s="456"/>
      <c r="F67" s="3" t="s">
        <v>128</v>
      </c>
      <c r="J67" s="73"/>
      <c r="K67" s="73"/>
      <c r="L67" s="71" t="s">
        <v>0</v>
      </c>
      <c r="W67" s="71" t="s">
        <v>0</v>
      </c>
    </row>
    <row r="68" spans="1:23" s="51" customFormat="1" ht="15" customHeight="1">
      <c r="A68"/>
      <c r="B68"/>
      <c r="C68" s="355" t="s">
        <v>463</v>
      </c>
      <c r="D68" s="19"/>
      <c r="E68" s="305"/>
      <c r="F68" s="215" t="s">
        <v>9</v>
      </c>
      <c r="J68" s="73"/>
      <c r="K68" s="73"/>
      <c r="L68" s="71" t="s">
        <v>0</v>
      </c>
      <c r="W68" s="71" t="s">
        <v>0</v>
      </c>
    </row>
    <row r="69" spans="1:23" s="51" customFormat="1" ht="15" customHeight="1">
      <c r="A69"/>
      <c r="B69"/>
      <c r="C69" s="356" t="s">
        <v>464</v>
      </c>
      <c r="D69" s="16"/>
      <c r="E69" s="306"/>
      <c r="F69" s="211" t="s">
        <v>9</v>
      </c>
      <c r="J69" s="73"/>
      <c r="K69" s="73"/>
      <c r="L69" s="71" t="s">
        <v>0</v>
      </c>
      <c r="W69" s="71" t="s">
        <v>0</v>
      </c>
    </row>
    <row r="70" spans="1:23" s="51" customFormat="1" ht="15" customHeight="1">
      <c r="A70"/>
      <c r="B70"/>
      <c r="C70" s="357" t="s">
        <v>190</v>
      </c>
      <c r="D70" s="308"/>
      <c r="E70" s="311"/>
      <c r="F70" s="214" t="s">
        <v>9</v>
      </c>
      <c r="J70" s="73"/>
      <c r="K70" s="73"/>
      <c r="L70" s="71" t="s">
        <v>0</v>
      </c>
      <c r="W70" s="71" t="s">
        <v>0</v>
      </c>
    </row>
    <row r="71" spans="2:23" s="51" customFormat="1" ht="4.5" customHeight="1">
      <c r="B71" s="74"/>
      <c r="C71" s="206"/>
      <c r="D71" s="206"/>
      <c r="E71" s="74"/>
      <c r="F71" s="74"/>
      <c r="J71" s="73"/>
      <c r="K71" s="73"/>
      <c r="L71" s="71" t="s">
        <v>0</v>
      </c>
      <c r="W71" s="71" t="s">
        <v>0</v>
      </c>
    </row>
    <row r="72" spans="2:23" s="51" customFormat="1" ht="60" customHeight="1">
      <c r="B72" s="74"/>
      <c r="C72" s="454" t="s">
        <v>466</v>
      </c>
      <c r="D72" s="455"/>
      <c r="E72" s="456"/>
      <c r="F72" s="3" t="s">
        <v>121</v>
      </c>
      <c r="G72" s="3" t="s">
        <v>330</v>
      </c>
      <c r="J72" s="73"/>
      <c r="K72" s="73"/>
      <c r="L72" s="71" t="s">
        <v>0</v>
      </c>
      <c r="W72" s="71" t="s">
        <v>0</v>
      </c>
    </row>
    <row r="73" spans="2:23" s="51" customFormat="1" ht="15" customHeight="1">
      <c r="B73" s="74"/>
      <c r="C73" s="294" t="s">
        <v>329</v>
      </c>
      <c r="D73" s="295"/>
      <c r="E73" s="296"/>
      <c r="F73" s="429" t="s">
        <v>557</v>
      </c>
      <c r="G73" s="430" t="s">
        <v>557</v>
      </c>
      <c r="J73" s="73"/>
      <c r="K73" s="73"/>
      <c r="L73" s="71" t="s">
        <v>0</v>
      </c>
      <c r="W73" s="71" t="s">
        <v>0</v>
      </c>
    </row>
    <row r="74" spans="2:23" s="51" customFormat="1" ht="4.5" customHeight="1">
      <c r="B74" s="74"/>
      <c r="C74" s="206"/>
      <c r="D74" s="206"/>
      <c r="E74" s="74"/>
      <c r="F74" s="74"/>
      <c r="J74" s="73"/>
      <c r="K74" s="73"/>
      <c r="L74" s="71" t="s">
        <v>0</v>
      </c>
      <c r="W74" s="71" t="s">
        <v>0</v>
      </c>
    </row>
    <row r="75" spans="2:23" s="51" customFormat="1" ht="45" customHeight="1">
      <c r="B75" s="74"/>
      <c r="C75" s="454" t="s">
        <v>467</v>
      </c>
      <c r="D75" s="455"/>
      <c r="E75" s="456"/>
      <c r="F75" s="226" t="s">
        <v>9</v>
      </c>
      <c r="J75" s="73"/>
      <c r="K75" s="73"/>
      <c r="L75" s="71" t="s">
        <v>0</v>
      </c>
      <c r="W75" s="71" t="s">
        <v>0</v>
      </c>
    </row>
    <row r="76" spans="2:23" s="51" customFormat="1" ht="4.5" customHeight="1">
      <c r="B76" s="74"/>
      <c r="C76" s="206"/>
      <c r="D76" s="206"/>
      <c r="E76" s="74"/>
      <c r="F76" s="74"/>
      <c r="J76" s="73"/>
      <c r="K76" s="73"/>
      <c r="L76" s="71" t="s">
        <v>0</v>
      </c>
      <c r="W76" s="71" t="s">
        <v>0</v>
      </c>
    </row>
    <row r="77" spans="2:23" s="51" customFormat="1" ht="45" customHeight="1">
      <c r="B77" s="74"/>
      <c r="C77" s="460" t="s">
        <v>468</v>
      </c>
      <c r="D77" s="461"/>
      <c r="E77" s="462"/>
      <c r="F77" s="354" t="s">
        <v>9</v>
      </c>
      <c r="J77" s="73"/>
      <c r="K77" s="73"/>
      <c r="L77" s="71" t="s">
        <v>0</v>
      </c>
      <c r="W77" s="71" t="s">
        <v>0</v>
      </c>
    </row>
    <row r="78" spans="2:23" s="51" customFormat="1" ht="4.5" customHeight="1">
      <c r="B78" s="74"/>
      <c r="C78"/>
      <c r="D78"/>
      <c r="E78"/>
      <c r="F78"/>
      <c r="J78" s="73"/>
      <c r="K78" s="73"/>
      <c r="L78" s="71" t="s">
        <v>0</v>
      </c>
      <c r="W78" s="71" t="s">
        <v>0</v>
      </c>
    </row>
    <row r="79" spans="2:23" s="51" customFormat="1" ht="30" customHeight="1">
      <c r="B79" s="74"/>
      <c r="C79" s="483" t="s">
        <v>469</v>
      </c>
      <c r="D79" s="484"/>
      <c r="E79" s="485"/>
      <c r="F79" s="431" t="s">
        <v>557</v>
      </c>
      <c r="J79" s="73"/>
      <c r="K79" s="73"/>
      <c r="L79" s="71" t="s">
        <v>0</v>
      </c>
      <c r="W79" s="71" t="s">
        <v>0</v>
      </c>
    </row>
    <row r="80" spans="2:23" s="51" customFormat="1" ht="4.5" customHeight="1">
      <c r="B80" s="74"/>
      <c r="C80" s="206"/>
      <c r="D80" s="206"/>
      <c r="E80" s="74"/>
      <c r="F80" s="74"/>
      <c r="J80" s="73"/>
      <c r="K80" s="73"/>
      <c r="L80" s="71" t="s">
        <v>0</v>
      </c>
      <c r="W80" s="71" t="s">
        <v>0</v>
      </c>
    </row>
    <row r="81" spans="2:23" s="51" customFormat="1" ht="15" customHeight="1">
      <c r="B81" s="74"/>
      <c r="C81" s="206"/>
      <c r="D81" s="206"/>
      <c r="E81" s="74"/>
      <c r="F81" s="74"/>
      <c r="J81" s="73"/>
      <c r="K81" s="73"/>
      <c r="L81" s="71" t="s">
        <v>0</v>
      </c>
      <c r="W81" s="71" t="s">
        <v>0</v>
      </c>
    </row>
    <row r="82" spans="2:23" s="51" customFormat="1" ht="4.5" customHeight="1">
      <c r="B82" s="74"/>
      <c r="C82" s="206"/>
      <c r="D82" s="206"/>
      <c r="E82" s="74"/>
      <c r="F82" s="74"/>
      <c r="J82" s="73"/>
      <c r="K82" s="73"/>
      <c r="L82" s="71" t="s">
        <v>0</v>
      </c>
      <c r="W82" s="71" t="s">
        <v>0</v>
      </c>
    </row>
    <row r="83" spans="2:23" s="51" customFormat="1" ht="15" customHeight="1">
      <c r="B83" s="74"/>
      <c r="C83" s="157" t="s">
        <v>332</v>
      </c>
      <c r="D83" s="4"/>
      <c r="E83" s="4"/>
      <c r="F83" s="4"/>
      <c r="G83" s="4"/>
      <c r="H83" s="4"/>
      <c r="I83" s="4"/>
      <c r="J83" s="373"/>
      <c r="K83" s="207"/>
      <c r="L83" s="71" t="s">
        <v>0</v>
      </c>
      <c r="W83" s="71" t="s">
        <v>0</v>
      </c>
    </row>
    <row r="84" spans="2:23" s="51" customFormat="1" ht="4.5" customHeight="1">
      <c r="B84" s="74"/>
      <c r="C84" s="206"/>
      <c r="D84" s="206"/>
      <c r="E84" s="74"/>
      <c r="F84" s="74"/>
      <c r="J84" s="73"/>
      <c r="K84" s="73"/>
      <c r="L84" s="71" t="s">
        <v>0</v>
      </c>
      <c r="W84" s="71" t="s">
        <v>0</v>
      </c>
    </row>
    <row r="85" spans="2:23" s="51" customFormat="1" ht="15" customHeight="1">
      <c r="B85" s="74"/>
      <c r="C85" s="454" t="s">
        <v>470</v>
      </c>
      <c r="D85" s="455"/>
      <c r="E85" s="456"/>
      <c r="F85" s="226" t="s">
        <v>9</v>
      </c>
      <c r="H85"/>
      <c r="J85" s="73"/>
      <c r="K85" s="73"/>
      <c r="L85" s="71" t="s">
        <v>0</v>
      </c>
      <c r="W85" s="71" t="s">
        <v>0</v>
      </c>
    </row>
    <row r="86" spans="2:23" s="51" customFormat="1" ht="4.5" customHeight="1">
      <c r="B86" s="74"/>
      <c r="C86" s="206"/>
      <c r="D86" s="206"/>
      <c r="E86" s="74"/>
      <c r="F86" s="74"/>
      <c r="H86"/>
      <c r="J86" s="73"/>
      <c r="K86" s="73"/>
      <c r="L86" s="71" t="s">
        <v>0</v>
      </c>
      <c r="W86" s="71" t="s">
        <v>0</v>
      </c>
    </row>
    <row r="87" spans="2:23" s="51" customFormat="1" ht="30">
      <c r="B87" s="74"/>
      <c r="C87" s="330"/>
      <c r="D87" s="230"/>
      <c r="E87" s="225"/>
      <c r="F87" s="3" t="s">
        <v>24</v>
      </c>
      <c r="G87" s="3" t="s">
        <v>418</v>
      </c>
      <c r="H87"/>
      <c r="J87" s="73"/>
      <c r="K87" s="73"/>
      <c r="L87" s="71" t="s">
        <v>0</v>
      </c>
      <c r="W87" s="71" t="s">
        <v>0</v>
      </c>
    </row>
    <row r="88" spans="2:23" s="51" customFormat="1" ht="15" customHeight="1">
      <c r="B88" s="74"/>
      <c r="C88" s="329" t="s">
        <v>333</v>
      </c>
      <c r="D88" s="327"/>
      <c r="E88" s="328"/>
      <c r="F88" s="433" t="s">
        <v>9</v>
      </c>
      <c r="G88" s="433" t="s">
        <v>9</v>
      </c>
      <c r="H88"/>
      <c r="J88" s="73"/>
      <c r="K88" s="73"/>
      <c r="L88" s="71" t="s">
        <v>0</v>
      </c>
      <c r="W88" s="71" t="s">
        <v>0</v>
      </c>
    </row>
    <row r="89" spans="2:23" s="51" customFormat="1" ht="4.5" customHeight="1">
      <c r="B89" s="74"/>
      <c r="C89"/>
      <c r="D89"/>
      <c r="E89"/>
      <c r="F89"/>
      <c r="G89"/>
      <c r="H89"/>
      <c r="J89" s="73"/>
      <c r="K89" s="73"/>
      <c r="L89" s="71" t="s">
        <v>0</v>
      </c>
      <c r="W89" s="71" t="s">
        <v>0</v>
      </c>
    </row>
    <row r="90" spans="2:23" s="51" customFormat="1" ht="45" customHeight="1">
      <c r="B90" s="74"/>
      <c r="C90" s="454" t="s">
        <v>471</v>
      </c>
      <c r="D90" s="455"/>
      <c r="E90" s="456"/>
      <c r="F90" s="3" t="s">
        <v>128</v>
      </c>
      <c r="G90"/>
      <c r="H90"/>
      <c r="J90" s="73"/>
      <c r="K90" s="73"/>
      <c r="L90" s="71" t="s">
        <v>0</v>
      </c>
      <c r="W90" s="71" t="s">
        <v>0</v>
      </c>
    </row>
    <row r="91" spans="2:23" s="51" customFormat="1" ht="15" customHeight="1">
      <c r="B91" s="74"/>
      <c r="C91" s="355" t="s">
        <v>472</v>
      </c>
      <c r="D91" s="19"/>
      <c r="E91" s="305"/>
      <c r="F91" s="215" t="s">
        <v>9</v>
      </c>
      <c r="G91"/>
      <c r="H91"/>
      <c r="J91" s="73"/>
      <c r="K91" s="73"/>
      <c r="L91" s="71" t="s">
        <v>0</v>
      </c>
      <c r="W91" s="71" t="s">
        <v>0</v>
      </c>
    </row>
    <row r="92" spans="2:23" s="51" customFormat="1" ht="15" customHeight="1">
      <c r="B92" s="74"/>
      <c r="C92" s="356" t="s">
        <v>473</v>
      </c>
      <c r="D92" s="16"/>
      <c r="E92" s="306"/>
      <c r="F92" s="211" t="s">
        <v>9</v>
      </c>
      <c r="G92"/>
      <c r="H92"/>
      <c r="J92" s="73"/>
      <c r="K92" s="73"/>
      <c r="L92" s="71" t="s">
        <v>0</v>
      </c>
      <c r="W92" s="71" t="s">
        <v>0</v>
      </c>
    </row>
    <row r="93" spans="2:23" s="51" customFormat="1" ht="15" customHeight="1">
      <c r="B93" s="74"/>
      <c r="C93" s="357" t="s">
        <v>474</v>
      </c>
      <c r="D93" s="308"/>
      <c r="E93" s="311"/>
      <c r="F93" s="214" t="s">
        <v>9</v>
      </c>
      <c r="G93"/>
      <c r="H93"/>
      <c r="J93" s="73"/>
      <c r="K93" s="73"/>
      <c r="L93" s="71" t="s">
        <v>0</v>
      </c>
      <c r="W93" s="71" t="s">
        <v>0</v>
      </c>
    </row>
    <row r="94" spans="2:23" s="51" customFormat="1" ht="4.5" customHeight="1">
      <c r="B94" s="74"/>
      <c r="C94" s="206"/>
      <c r="D94" s="206"/>
      <c r="E94" s="74"/>
      <c r="F94" s="74"/>
      <c r="J94" s="73"/>
      <c r="K94" s="73"/>
      <c r="L94" s="71" t="s">
        <v>0</v>
      </c>
      <c r="W94" s="71" t="s">
        <v>0</v>
      </c>
    </row>
    <row r="95" spans="2:23" s="51" customFormat="1" ht="29.25" customHeight="1">
      <c r="B95" s="74"/>
      <c r="C95" s="454" t="s">
        <v>475</v>
      </c>
      <c r="D95" s="455"/>
      <c r="E95" s="456"/>
      <c r="F95" s="226" t="s">
        <v>9</v>
      </c>
      <c r="J95" s="73"/>
      <c r="K95" s="73"/>
      <c r="L95" s="71" t="s">
        <v>0</v>
      </c>
      <c r="W95" s="71" t="s">
        <v>0</v>
      </c>
    </row>
    <row r="96" spans="2:23" s="51" customFormat="1" ht="4.5" customHeight="1">
      <c r="B96" s="74"/>
      <c r="C96" s="206"/>
      <c r="D96" s="206"/>
      <c r="E96" s="74"/>
      <c r="F96" s="74"/>
      <c r="J96" s="73"/>
      <c r="K96" s="73"/>
      <c r="L96" s="71" t="s">
        <v>0</v>
      </c>
      <c r="W96" s="71" t="s">
        <v>0</v>
      </c>
    </row>
    <row r="97" spans="2:23" s="51" customFormat="1" ht="30" customHeight="1">
      <c r="B97" s="74"/>
      <c r="C97" s="457" t="s">
        <v>558</v>
      </c>
      <c r="D97" s="458"/>
      <c r="E97" s="459"/>
      <c r="F97" s="429" t="s">
        <v>557</v>
      </c>
      <c r="J97" s="73"/>
      <c r="K97" s="73"/>
      <c r="L97" s="71" t="s">
        <v>0</v>
      </c>
      <c r="W97" s="71" t="s">
        <v>0</v>
      </c>
    </row>
    <row r="98" spans="2:23" s="51" customFormat="1" ht="4.5" customHeight="1">
      <c r="B98" s="74"/>
      <c r="C98" s="206"/>
      <c r="D98" s="206"/>
      <c r="E98" s="74"/>
      <c r="F98" s="74"/>
      <c r="J98" s="73"/>
      <c r="K98" s="73"/>
      <c r="L98" s="71" t="s">
        <v>0</v>
      </c>
      <c r="W98" s="71" t="s">
        <v>0</v>
      </c>
    </row>
    <row r="99" spans="2:23" s="51" customFormat="1" ht="30" customHeight="1">
      <c r="B99" s="74"/>
      <c r="C99" s="454" t="s">
        <v>476</v>
      </c>
      <c r="D99" s="455"/>
      <c r="E99" s="456"/>
      <c r="F99" s="226" t="s">
        <v>9</v>
      </c>
      <c r="J99" s="73"/>
      <c r="K99" s="73"/>
      <c r="L99" s="71" t="s">
        <v>0</v>
      </c>
      <c r="W99" s="71" t="s">
        <v>0</v>
      </c>
    </row>
    <row r="100" spans="2:23" s="51" customFormat="1" ht="4.5" customHeight="1">
      <c r="B100" s="74"/>
      <c r="C100" s="206"/>
      <c r="D100" s="206"/>
      <c r="E100" s="74"/>
      <c r="F100" s="74"/>
      <c r="J100" s="73"/>
      <c r="K100" s="73"/>
      <c r="L100" s="71" t="s">
        <v>0</v>
      </c>
      <c r="W100" s="71" t="s">
        <v>0</v>
      </c>
    </row>
    <row r="101" spans="2:23" s="51" customFormat="1" ht="15" customHeight="1">
      <c r="B101" s="74"/>
      <c r="C101" s="457" t="s">
        <v>334</v>
      </c>
      <c r="D101" s="458"/>
      <c r="E101" s="459"/>
      <c r="F101" s="432" t="s">
        <v>9</v>
      </c>
      <c r="J101" s="73"/>
      <c r="K101" s="73"/>
      <c r="L101" s="71" t="s">
        <v>0</v>
      </c>
      <c r="W101" s="71" t="s">
        <v>0</v>
      </c>
    </row>
    <row r="102" spans="2:23" s="51" customFormat="1" ht="4.5" customHeight="1">
      <c r="B102" s="74"/>
      <c r="C102"/>
      <c r="D102"/>
      <c r="E102"/>
      <c r="F102"/>
      <c r="J102" s="73"/>
      <c r="K102" s="73"/>
      <c r="L102" s="71" t="s">
        <v>0</v>
      </c>
      <c r="W102" s="71" t="s">
        <v>0</v>
      </c>
    </row>
    <row r="103" spans="2:23" s="51" customFormat="1" ht="45" customHeight="1">
      <c r="B103" s="74"/>
      <c r="C103" s="454" t="s">
        <v>477</v>
      </c>
      <c r="D103" s="455"/>
      <c r="E103" s="456"/>
      <c r="F103" s="3" t="s">
        <v>128</v>
      </c>
      <c r="J103" s="73"/>
      <c r="K103" s="73"/>
      <c r="L103" s="71" t="s">
        <v>0</v>
      </c>
      <c r="W103" s="71" t="s">
        <v>0</v>
      </c>
    </row>
    <row r="104" spans="2:23" s="51" customFormat="1" ht="15" customHeight="1">
      <c r="B104" s="74"/>
      <c r="C104" s="355" t="s">
        <v>472</v>
      </c>
      <c r="D104" s="19"/>
      <c r="E104" s="305"/>
      <c r="F104" s="215" t="s">
        <v>9</v>
      </c>
      <c r="J104" s="73"/>
      <c r="K104" s="73"/>
      <c r="L104" s="71" t="s">
        <v>0</v>
      </c>
      <c r="W104" s="71" t="s">
        <v>0</v>
      </c>
    </row>
    <row r="105" spans="2:23" s="51" customFormat="1" ht="15" customHeight="1">
      <c r="B105" s="74"/>
      <c r="C105" s="356" t="s">
        <v>473</v>
      </c>
      <c r="D105" s="16"/>
      <c r="E105" s="306"/>
      <c r="F105" s="211" t="s">
        <v>9</v>
      </c>
      <c r="J105" s="73"/>
      <c r="K105" s="73"/>
      <c r="L105" s="71" t="s">
        <v>0</v>
      </c>
      <c r="W105" s="71" t="s">
        <v>0</v>
      </c>
    </row>
    <row r="106" spans="2:23" s="51" customFormat="1" ht="15" customHeight="1">
      <c r="B106" s="74"/>
      <c r="C106" s="357" t="s">
        <v>474</v>
      </c>
      <c r="D106" s="308"/>
      <c r="E106" s="311"/>
      <c r="F106" s="214" t="s">
        <v>9</v>
      </c>
      <c r="J106" s="73"/>
      <c r="K106" s="73"/>
      <c r="L106" s="71" t="s">
        <v>0</v>
      </c>
      <c r="W106" s="71" t="s">
        <v>0</v>
      </c>
    </row>
    <row r="107" spans="2:23" s="51" customFormat="1" ht="4.5" customHeight="1">
      <c r="B107" s="74"/>
      <c r="C107" s="206"/>
      <c r="D107" s="206"/>
      <c r="E107" s="74"/>
      <c r="F107" s="74"/>
      <c r="J107" s="73"/>
      <c r="K107" s="73"/>
      <c r="L107" s="71" t="s">
        <v>0</v>
      </c>
      <c r="W107" s="71" t="s">
        <v>0</v>
      </c>
    </row>
    <row r="108" spans="2:23" s="51" customFormat="1" ht="45" customHeight="1">
      <c r="B108" s="74"/>
      <c r="C108" s="454" t="s">
        <v>494</v>
      </c>
      <c r="D108" s="455"/>
      <c r="E108" s="456"/>
      <c r="F108" s="226" t="s">
        <v>9</v>
      </c>
      <c r="J108" s="73"/>
      <c r="K108" s="73"/>
      <c r="L108" s="71" t="s">
        <v>0</v>
      </c>
      <c r="W108" s="71" t="s">
        <v>0</v>
      </c>
    </row>
    <row r="109" spans="2:23" s="51" customFormat="1" ht="4.5" customHeight="1">
      <c r="B109" s="74"/>
      <c r="C109" s="206"/>
      <c r="D109" s="206"/>
      <c r="E109" s="74"/>
      <c r="F109" s="74"/>
      <c r="J109" s="73"/>
      <c r="K109" s="73"/>
      <c r="L109" s="71" t="s">
        <v>0</v>
      </c>
      <c r="W109" s="71" t="s">
        <v>0</v>
      </c>
    </row>
    <row r="110" spans="2:23" s="51" customFormat="1" ht="30" customHeight="1">
      <c r="B110" s="74"/>
      <c r="C110" s="457" t="s">
        <v>559</v>
      </c>
      <c r="D110" s="458"/>
      <c r="E110" s="459"/>
      <c r="F110" s="429" t="s">
        <v>557</v>
      </c>
      <c r="J110" s="73"/>
      <c r="K110" s="73"/>
      <c r="L110" s="71" t="s">
        <v>0</v>
      </c>
      <c r="W110" s="71" t="s">
        <v>0</v>
      </c>
    </row>
    <row r="111" spans="2:23" s="51" customFormat="1" ht="4.5" customHeight="1">
      <c r="B111" s="74"/>
      <c r="C111" s="206"/>
      <c r="D111" s="206"/>
      <c r="E111" s="74"/>
      <c r="F111" s="74"/>
      <c r="J111" s="73"/>
      <c r="K111" s="73"/>
      <c r="L111" s="71" t="s">
        <v>0</v>
      </c>
      <c r="W111" s="71" t="s">
        <v>0</v>
      </c>
    </row>
    <row r="112" spans="2:23" s="51" customFormat="1" ht="15" customHeight="1">
      <c r="B112" s="74"/>
      <c r="C112" s="206"/>
      <c r="D112" s="206"/>
      <c r="E112" s="74"/>
      <c r="F112" s="74"/>
      <c r="J112" s="73"/>
      <c r="K112" s="73"/>
      <c r="L112" s="71" t="s">
        <v>0</v>
      </c>
      <c r="W112" s="71" t="s">
        <v>0</v>
      </c>
    </row>
    <row r="113" spans="2:23" s="51" customFormat="1" ht="4.5" customHeight="1">
      <c r="B113" s="74"/>
      <c r="C113" s="206"/>
      <c r="D113" s="206"/>
      <c r="E113" s="74"/>
      <c r="F113" s="74"/>
      <c r="J113" s="73"/>
      <c r="K113" s="73"/>
      <c r="L113" s="71" t="s">
        <v>0</v>
      </c>
      <c r="W113" s="71" t="s">
        <v>0</v>
      </c>
    </row>
    <row r="114" spans="2:23" s="51" customFormat="1" ht="18.75">
      <c r="B114" s="74"/>
      <c r="C114" s="297" t="s">
        <v>335</v>
      </c>
      <c r="D114" s="298"/>
      <c r="E114" s="298"/>
      <c r="F114" s="298"/>
      <c r="G114" s="298"/>
      <c r="H114" s="298"/>
      <c r="I114" s="298"/>
      <c r="J114" s="372"/>
      <c r="K114" s="299"/>
      <c r="L114" s="71" t="s">
        <v>0</v>
      </c>
      <c r="W114" s="71" t="s">
        <v>0</v>
      </c>
    </row>
    <row r="115" spans="2:23" s="51" customFormat="1" ht="4.5" customHeight="1">
      <c r="B115" s="74"/>
      <c r="C115" s="206"/>
      <c r="D115" s="206"/>
      <c r="E115" s="74"/>
      <c r="F115" s="74"/>
      <c r="J115" s="73"/>
      <c r="K115" s="73"/>
      <c r="L115" s="71" t="s">
        <v>0</v>
      </c>
      <c r="W115" s="71" t="s">
        <v>0</v>
      </c>
    </row>
    <row r="116" spans="2:23" s="51" customFormat="1" ht="15" customHeight="1">
      <c r="B116" s="74"/>
      <c r="C116" s="206"/>
      <c r="D116" s="206"/>
      <c r="E116" s="74"/>
      <c r="F116" s="74"/>
      <c r="J116" s="73"/>
      <c r="K116" s="73"/>
      <c r="L116" s="71" t="s">
        <v>0</v>
      </c>
      <c r="W116" s="71" t="s">
        <v>0</v>
      </c>
    </row>
    <row r="117" spans="2:23" s="51" customFormat="1" ht="4.5" customHeight="1">
      <c r="B117" s="74"/>
      <c r="C117" s="206"/>
      <c r="D117" s="206"/>
      <c r="E117" s="74"/>
      <c r="F117" s="74"/>
      <c r="J117" s="73"/>
      <c r="K117" s="73"/>
      <c r="L117" s="71" t="s">
        <v>0</v>
      </c>
      <c r="W117" s="71" t="s">
        <v>0</v>
      </c>
    </row>
    <row r="118" spans="2:23" s="51" customFormat="1" ht="15" customHeight="1">
      <c r="B118" s="74"/>
      <c r="C118" s="157" t="s">
        <v>336</v>
      </c>
      <c r="D118" s="4"/>
      <c r="E118" s="4"/>
      <c r="F118" s="4"/>
      <c r="G118" s="4"/>
      <c r="H118" s="4"/>
      <c r="I118" s="4"/>
      <c r="J118" s="373"/>
      <c r="K118" s="207"/>
      <c r="L118" s="71" t="s">
        <v>0</v>
      </c>
      <c r="W118" s="71" t="s">
        <v>0</v>
      </c>
    </row>
    <row r="119" spans="2:23" s="51" customFormat="1" ht="4.5" customHeight="1">
      <c r="B119" s="74"/>
      <c r="C119" s="206"/>
      <c r="D119" s="206"/>
      <c r="E119" s="74"/>
      <c r="F119" s="74"/>
      <c r="J119" s="73"/>
      <c r="K119" s="73"/>
      <c r="L119" s="71" t="s">
        <v>0</v>
      </c>
      <c r="W119" s="71" t="s">
        <v>0</v>
      </c>
    </row>
    <row r="120" spans="2:23" s="61" customFormat="1" ht="30" customHeight="1">
      <c r="B120" s="301"/>
      <c r="C120" s="460" t="s">
        <v>478</v>
      </c>
      <c r="D120" s="461"/>
      <c r="E120" s="462"/>
      <c r="F120" s="13" t="s">
        <v>128</v>
      </c>
      <c r="J120" s="302"/>
      <c r="K120" s="302"/>
      <c r="L120" s="71" t="s">
        <v>0</v>
      </c>
      <c r="U120" s="338"/>
      <c r="V120" s="338"/>
      <c r="W120" s="71" t="s">
        <v>0</v>
      </c>
    </row>
    <row r="121" spans="2:23" s="51" customFormat="1" ht="15" customHeight="1">
      <c r="B121" s="74"/>
      <c r="C121" s="291" t="s">
        <v>337</v>
      </c>
      <c r="D121" s="19"/>
      <c r="E121" s="19"/>
      <c r="F121" s="215" t="s">
        <v>9</v>
      </c>
      <c r="J121" s="73"/>
      <c r="K121" s="73"/>
      <c r="L121" s="71" t="s">
        <v>0</v>
      </c>
      <c r="W121" s="71" t="s">
        <v>0</v>
      </c>
    </row>
    <row r="122" spans="2:23" s="51" customFormat="1" ht="15" customHeight="1">
      <c r="B122" s="74"/>
      <c r="C122" s="292" t="s">
        <v>338</v>
      </c>
      <c r="D122" s="16"/>
      <c r="E122" s="16"/>
      <c r="F122" s="211" t="s">
        <v>9</v>
      </c>
      <c r="J122" s="73"/>
      <c r="K122" s="73"/>
      <c r="L122" s="71" t="s">
        <v>0</v>
      </c>
      <c r="W122" s="71" t="s">
        <v>0</v>
      </c>
    </row>
    <row r="123" spans="2:23" s="51" customFormat="1" ht="15" customHeight="1">
      <c r="B123" s="74"/>
      <c r="C123" s="292" t="s">
        <v>339</v>
      </c>
      <c r="D123" s="16"/>
      <c r="E123" s="16"/>
      <c r="F123" s="211" t="s">
        <v>9</v>
      </c>
      <c r="J123" s="73"/>
      <c r="K123" s="73"/>
      <c r="L123" s="71" t="s">
        <v>0</v>
      </c>
      <c r="W123" s="71" t="s">
        <v>0</v>
      </c>
    </row>
    <row r="124" spans="2:23" s="51" customFormat="1" ht="15" customHeight="1">
      <c r="B124" s="74"/>
      <c r="C124" s="292" t="s">
        <v>340</v>
      </c>
      <c r="D124" s="304"/>
      <c r="E124" s="304"/>
      <c r="F124" s="211" t="s">
        <v>9</v>
      </c>
      <c r="J124" s="73"/>
      <c r="K124" s="73"/>
      <c r="L124" s="71" t="s">
        <v>0</v>
      </c>
      <c r="W124" s="71" t="s">
        <v>0</v>
      </c>
    </row>
    <row r="125" spans="2:23" s="51" customFormat="1" ht="15" customHeight="1">
      <c r="B125" s="74"/>
      <c r="C125" s="292" t="s">
        <v>341</v>
      </c>
      <c r="D125" s="16"/>
      <c r="E125" s="16"/>
      <c r="F125" s="211" t="s">
        <v>9</v>
      </c>
      <c r="J125" s="73"/>
      <c r="K125" s="73"/>
      <c r="L125" s="71" t="s">
        <v>0</v>
      </c>
      <c r="W125" s="71" t="s">
        <v>0</v>
      </c>
    </row>
    <row r="126" spans="2:23" s="51" customFormat="1" ht="15" customHeight="1">
      <c r="B126" s="74"/>
      <c r="C126" s="292" t="s">
        <v>342</v>
      </c>
      <c r="D126" s="16"/>
      <c r="E126" s="16"/>
      <c r="F126" s="211" t="s">
        <v>9</v>
      </c>
      <c r="J126" s="73"/>
      <c r="K126" s="73"/>
      <c r="L126" s="71" t="s">
        <v>0</v>
      </c>
      <c r="W126" s="71" t="s">
        <v>0</v>
      </c>
    </row>
    <row r="127" spans="2:23" s="51" customFormat="1" ht="15" customHeight="1">
      <c r="B127" s="74"/>
      <c r="C127" s="292" t="s">
        <v>343</v>
      </c>
      <c r="D127" s="16"/>
      <c r="E127" s="16"/>
      <c r="F127" s="211" t="s">
        <v>9</v>
      </c>
      <c r="J127" s="73"/>
      <c r="K127" s="73"/>
      <c r="L127" s="71" t="s">
        <v>0</v>
      </c>
      <c r="W127" s="71" t="s">
        <v>0</v>
      </c>
    </row>
    <row r="128" spans="2:23" s="51" customFormat="1" ht="15" customHeight="1">
      <c r="B128" s="74"/>
      <c r="C128" s="292" t="s">
        <v>344</v>
      </c>
      <c r="D128" s="304"/>
      <c r="E128" s="304"/>
      <c r="F128" s="211" t="s">
        <v>9</v>
      </c>
      <c r="J128" s="73"/>
      <c r="K128" s="73"/>
      <c r="L128" s="71" t="s">
        <v>0</v>
      </c>
      <c r="W128" s="71" t="s">
        <v>0</v>
      </c>
    </row>
    <row r="129" spans="2:23" s="51" customFormat="1" ht="15" customHeight="1">
      <c r="B129" s="74"/>
      <c r="C129" s="292" t="s">
        <v>345</v>
      </c>
      <c r="D129" s="16"/>
      <c r="E129" s="16"/>
      <c r="F129" s="211" t="s">
        <v>9</v>
      </c>
      <c r="J129" s="73"/>
      <c r="K129" s="73"/>
      <c r="L129" s="71" t="s">
        <v>0</v>
      </c>
      <c r="W129" s="71" t="s">
        <v>0</v>
      </c>
    </row>
    <row r="130" spans="2:23" s="51" customFormat="1" ht="15" customHeight="1">
      <c r="B130" s="74"/>
      <c r="C130" s="293" t="s">
        <v>346</v>
      </c>
      <c r="D130" s="213"/>
      <c r="E130" s="213"/>
      <c r="F130" s="214" t="s">
        <v>9</v>
      </c>
      <c r="J130" s="73"/>
      <c r="K130" s="73"/>
      <c r="L130" s="71" t="s">
        <v>0</v>
      </c>
      <c r="W130" s="71" t="s">
        <v>0</v>
      </c>
    </row>
    <row r="131" spans="2:23" s="51" customFormat="1" ht="4.5" customHeight="1">
      <c r="B131" s="74"/>
      <c r="C131" s="206"/>
      <c r="D131" s="206"/>
      <c r="E131" s="74"/>
      <c r="F131" s="74"/>
      <c r="J131" s="73"/>
      <c r="K131" s="73"/>
      <c r="L131" s="71" t="s">
        <v>0</v>
      </c>
      <c r="W131" s="71" t="s">
        <v>0</v>
      </c>
    </row>
    <row r="132" spans="2:23" s="51" customFormat="1" ht="45" customHeight="1">
      <c r="B132" s="74"/>
      <c r="C132" s="454" t="s">
        <v>479</v>
      </c>
      <c r="D132" s="455"/>
      <c r="E132" s="456"/>
      <c r="F132" s="226" t="s">
        <v>9</v>
      </c>
      <c r="J132" s="73"/>
      <c r="K132" s="73"/>
      <c r="L132" s="71" t="s">
        <v>0</v>
      </c>
      <c r="W132" s="71" t="s">
        <v>0</v>
      </c>
    </row>
    <row r="133" spans="2:23" s="51" customFormat="1" ht="4.5" customHeight="1">
      <c r="B133" s="74"/>
      <c r="C133" s="206"/>
      <c r="D133" s="206"/>
      <c r="E133" s="74"/>
      <c r="F133" s="74"/>
      <c r="J133" s="73"/>
      <c r="K133" s="73"/>
      <c r="L133" s="71" t="s">
        <v>0</v>
      </c>
      <c r="W133" s="71" t="s">
        <v>0</v>
      </c>
    </row>
    <row r="134" spans="2:23" s="51" customFormat="1" ht="15" customHeight="1">
      <c r="B134" s="74"/>
      <c r="C134" s="460" t="s">
        <v>480</v>
      </c>
      <c r="D134" s="461"/>
      <c r="E134" s="462"/>
      <c r="F134" s="13" t="s">
        <v>128</v>
      </c>
      <c r="J134" s="73"/>
      <c r="K134" s="73"/>
      <c r="L134" s="71" t="s">
        <v>0</v>
      </c>
      <c r="W134" s="71" t="s">
        <v>0</v>
      </c>
    </row>
    <row r="135" spans="2:23" s="51" customFormat="1" ht="15" customHeight="1">
      <c r="B135" s="74"/>
      <c r="C135" s="291" t="s">
        <v>351</v>
      </c>
      <c r="D135" s="19"/>
      <c r="E135" s="19"/>
      <c r="F135" s="215" t="s">
        <v>9</v>
      </c>
      <c r="J135" s="73"/>
      <c r="K135" s="73"/>
      <c r="L135" s="71" t="s">
        <v>0</v>
      </c>
      <c r="W135" s="71" t="s">
        <v>0</v>
      </c>
    </row>
    <row r="136" spans="2:23" s="51" customFormat="1" ht="15" customHeight="1">
      <c r="B136" s="74"/>
      <c r="C136" s="292" t="s">
        <v>352</v>
      </c>
      <c r="D136" s="16"/>
      <c r="E136" s="16"/>
      <c r="F136" s="211" t="s">
        <v>9</v>
      </c>
      <c r="J136" s="73"/>
      <c r="K136" s="73"/>
      <c r="L136" s="71" t="s">
        <v>0</v>
      </c>
      <c r="W136" s="71" t="s">
        <v>0</v>
      </c>
    </row>
    <row r="137" spans="2:23" s="51" customFormat="1" ht="15" customHeight="1">
      <c r="B137" s="74"/>
      <c r="C137" s="292" t="s">
        <v>353</v>
      </c>
      <c r="D137" s="16"/>
      <c r="E137" s="16"/>
      <c r="F137" s="211" t="s">
        <v>9</v>
      </c>
      <c r="J137" s="73"/>
      <c r="K137" s="73"/>
      <c r="L137" s="71" t="s">
        <v>0</v>
      </c>
      <c r="W137" s="71" t="s">
        <v>0</v>
      </c>
    </row>
    <row r="138" spans="2:23" s="51" customFormat="1" ht="15" customHeight="1">
      <c r="B138" s="74"/>
      <c r="C138" s="292" t="s">
        <v>354</v>
      </c>
      <c r="D138" s="304"/>
      <c r="E138" s="304"/>
      <c r="F138" s="211" t="s">
        <v>9</v>
      </c>
      <c r="J138" s="73"/>
      <c r="K138" s="73"/>
      <c r="L138" s="71" t="s">
        <v>0</v>
      </c>
      <c r="W138" s="71" t="s">
        <v>0</v>
      </c>
    </row>
    <row r="139" spans="2:23" s="51" customFormat="1" ht="15" customHeight="1">
      <c r="B139" s="74"/>
      <c r="C139" s="356" t="s">
        <v>481</v>
      </c>
      <c r="D139" s="304"/>
      <c r="E139" s="304"/>
      <c r="F139" s="211" t="s">
        <v>9</v>
      </c>
      <c r="J139" s="73"/>
      <c r="K139" s="73"/>
      <c r="L139" s="71" t="s">
        <v>0</v>
      </c>
      <c r="W139" s="71" t="s">
        <v>0</v>
      </c>
    </row>
    <row r="140" spans="2:23" s="51" customFormat="1" ht="15" customHeight="1">
      <c r="B140" s="74"/>
      <c r="C140" s="293" t="s">
        <v>76</v>
      </c>
      <c r="D140" s="308"/>
      <c r="E140" s="308"/>
      <c r="F140" s="214" t="s">
        <v>9</v>
      </c>
      <c r="J140" s="73"/>
      <c r="K140" s="73"/>
      <c r="L140" s="71" t="s">
        <v>0</v>
      </c>
      <c r="W140" s="71" t="s">
        <v>0</v>
      </c>
    </row>
    <row r="141" spans="2:23" s="51" customFormat="1" ht="4.5" customHeight="1">
      <c r="B141" s="74"/>
      <c r="C141" s="206"/>
      <c r="D141" s="206"/>
      <c r="E141" s="74"/>
      <c r="F141" s="74"/>
      <c r="J141" s="73"/>
      <c r="K141" s="73"/>
      <c r="L141" s="71" t="s">
        <v>0</v>
      </c>
      <c r="W141" s="71" t="s">
        <v>0</v>
      </c>
    </row>
    <row r="142" spans="2:23" s="51" customFormat="1" ht="30" customHeight="1">
      <c r="B142" s="74"/>
      <c r="C142" s="454" t="s">
        <v>482</v>
      </c>
      <c r="D142" s="455"/>
      <c r="E142" s="456"/>
      <c r="F142" s="432" t="s">
        <v>9</v>
      </c>
      <c r="J142" s="73"/>
      <c r="K142" s="73"/>
      <c r="L142" s="71" t="s">
        <v>0</v>
      </c>
      <c r="W142" s="71" t="s">
        <v>0</v>
      </c>
    </row>
    <row r="143" spans="2:23" s="51" customFormat="1" ht="4.5" customHeight="1">
      <c r="B143" s="74"/>
      <c r="C143" s="206"/>
      <c r="D143" s="206"/>
      <c r="E143" s="74"/>
      <c r="F143" s="74"/>
      <c r="J143" s="73"/>
      <c r="K143" s="73"/>
      <c r="L143" s="71" t="s">
        <v>0</v>
      </c>
      <c r="W143" s="71" t="s">
        <v>0</v>
      </c>
    </row>
    <row r="144" spans="2:23" s="51" customFormat="1" ht="15" customHeight="1">
      <c r="B144" s="74"/>
      <c r="C144" s="206"/>
      <c r="D144" s="206"/>
      <c r="E144" s="74"/>
      <c r="F144" s="74"/>
      <c r="J144" s="73"/>
      <c r="K144" s="73"/>
      <c r="L144" s="71" t="s">
        <v>0</v>
      </c>
      <c r="W144" s="71" t="s">
        <v>0</v>
      </c>
    </row>
    <row r="145" spans="2:23" s="51" customFormat="1" ht="4.5" customHeight="1">
      <c r="B145" s="74"/>
      <c r="C145" s="206"/>
      <c r="D145" s="206"/>
      <c r="E145" s="74"/>
      <c r="F145" s="74"/>
      <c r="J145" s="73"/>
      <c r="K145" s="73"/>
      <c r="L145" s="71" t="s">
        <v>0</v>
      </c>
      <c r="W145" s="71" t="s">
        <v>0</v>
      </c>
    </row>
    <row r="146" spans="2:23" s="51" customFormat="1" ht="15" customHeight="1">
      <c r="B146" s="74"/>
      <c r="C146" s="157" t="s">
        <v>355</v>
      </c>
      <c r="D146" s="4"/>
      <c r="E146" s="4"/>
      <c r="F146" s="4"/>
      <c r="G146" s="4"/>
      <c r="H146" s="4"/>
      <c r="I146" s="4"/>
      <c r="J146" s="373"/>
      <c r="K146" s="207"/>
      <c r="L146" s="71" t="s">
        <v>0</v>
      </c>
      <c r="W146" s="71" t="s">
        <v>0</v>
      </c>
    </row>
    <row r="147" spans="2:23" s="51" customFormat="1" ht="4.5" customHeight="1">
      <c r="B147" s="74"/>
      <c r="C147" s="206"/>
      <c r="D147" s="206"/>
      <c r="E147" s="74"/>
      <c r="F147" s="74"/>
      <c r="J147" s="73"/>
      <c r="K147" s="73"/>
      <c r="L147" s="71" t="s">
        <v>0</v>
      </c>
      <c r="W147" s="71" t="s">
        <v>0</v>
      </c>
    </row>
    <row r="148" spans="2:23" s="51" customFormat="1" ht="60" customHeight="1">
      <c r="B148" s="74"/>
      <c r="C148" s="454" t="s">
        <v>483</v>
      </c>
      <c r="D148" s="455"/>
      <c r="E148" s="456"/>
      <c r="F148" s="3" t="s">
        <v>128</v>
      </c>
      <c r="J148" s="73"/>
      <c r="K148" s="73"/>
      <c r="L148" s="71" t="s">
        <v>0</v>
      </c>
      <c r="W148" s="71" t="s">
        <v>0</v>
      </c>
    </row>
    <row r="149" spans="2:23" s="51" customFormat="1" ht="15" customHeight="1">
      <c r="B149" s="74"/>
      <c r="C149" s="291" t="s">
        <v>356</v>
      </c>
      <c r="D149" s="19"/>
      <c r="E149" s="19"/>
      <c r="F149" s="211" t="s">
        <v>9</v>
      </c>
      <c r="J149" s="73"/>
      <c r="K149" s="73"/>
      <c r="L149" s="71" t="s">
        <v>0</v>
      </c>
      <c r="W149" s="71" t="s">
        <v>0</v>
      </c>
    </row>
    <row r="150" spans="2:23" s="51" customFormat="1" ht="15" customHeight="1">
      <c r="B150" s="74"/>
      <c r="C150" s="292" t="s">
        <v>357</v>
      </c>
      <c r="D150" s="16"/>
      <c r="E150" s="16"/>
      <c r="F150" s="211" t="s">
        <v>9</v>
      </c>
      <c r="J150" s="73"/>
      <c r="K150" s="73"/>
      <c r="L150" s="71" t="s">
        <v>0</v>
      </c>
      <c r="W150" s="71" t="s">
        <v>0</v>
      </c>
    </row>
    <row r="151" spans="2:23" s="51" customFormat="1" ht="15" customHeight="1">
      <c r="B151" s="74"/>
      <c r="C151" s="292" t="s">
        <v>358</v>
      </c>
      <c r="D151" s="16"/>
      <c r="E151" s="16"/>
      <c r="F151" s="211" t="s">
        <v>9</v>
      </c>
      <c r="J151" s="73"/>
      <c r="K151" s="73"/>
      <c r="L151" s="71" t="s">
        <v>0</v>
      </c>
      <c r="W151" s="71" t="s">
        <v>0</v>
      </c>
    </row>
    <row r="152" spans="2:23" s="51" customFormat="1" ht="15" customHeight="1">
      <c r="B152" s="74"/>
      <c r="C152" s="293" t="s">
        <v>359</v>
      </c>
      <c r="D152" s="213"/>
      <c r="E152" s="213"/>
      <c r="F152" s="214" t="s">
        <v>9</v>
      </c>
      <c r="J152" s="73"/>
      <c r="K152" s="73"/>
      <c r="L152" s="71" t="s">
        <v>0</v>
      </c>
      <c r="W152" s="71" t="s">
        <v>0</v>
      </c>
    </row>
    <row r="153" spans="2:23" s="51" customFormat="1" ht="4.5" customHeight="1">
      <c r="B153" s="74"/>
      <c r="C153" s="206"/>
      <c r="D153" s="206"/>
      <c r="E153" s="74"/>
      <c r="F153" s="74"/>
      <c r="J153" s="73"/>
      <c r="K153" s="73"/>
      <c r="L153" s="71" t="s">
        <v>0</v>
      </c>
      <c r="W153" s="71" t="s">
        <v>0</v>
      </c>
    </row>
    <row r="154" spans="2:23" s="51" customFormat="1" ht="15" customHeight="1">
      <c r="B154" s="74"/>
      <c r="D154" s="206"/>
      <c r="E154" s="74"/>
      <c r="F154" s="74"/>
      <c r="J154" s="73"/>
      <c r="K154" s="73"/>
      <c r="L154" s="71" t="s">
        <v>0</v>
      </c>
      <c r="W154" s="71" t="s">
        <v>0</v>
      </c>
    </row>
    <row r="155" spans="2:23" s="51" customFormat="1" ht="4.5" customHeight="1">
      <c r="B155" s="74"/>
      <c r="C155" s="206"/>
      <c r="D155" s="206"/>
      <c r="E155" s="74"/>
      <c r="F155" s="74"/>
      <c r="J155" s="73"/>
      <c r="K155" s="73"/>
      <c r="L155" s="71" t="s">
        <v>0</v>
      </c>
      <c r="W155" s="71" t="s">
        <v>0</v>
      </c>
    </row>
    <row r="156" spans="2:23" s="51" customFormat="1" ht="15" customHeight="1">
      <c r="B156" s="74"/>
      <c r="C156" s="323" t="s">
        <v>556</v>
      </c>
      <c r="D156" s="206"/>
      <c r="E156" s="74"/>
      <c r="F156" s="74"/>
      <c r="J156" s="73"/>
      <c r="K156" s="73"/>
      <c r="L156" s="71" t="s">
        <v>0</v>
      </c>
      <c r="W156" s="71" t="s">
        <v>0</v>
      </c>
    </row>
    <row r="157" spans="2:23" s="51" customFormat="1" ht="4.5" customHeight="1">
      <c r="B157" s="74"/>
      <c r="C157" s="206"/>
      <c r="D157" s="206"/>
      <c r="E157" s="74"/>
      <c r="F157" s="74"/>
      <c r="J157" s="73"/>
      <c r="K157" s="73"/>
      <c r="L157" s="71" t="s">
        <v>0</v>
      </c>
      <c r="W157" s="71" t="s">
        <v>0</v>
      </c>
    </row>
    <row r="158" spans="2:23" s="51" customFormat="1" ht="15" customHeight="1">
      <c r="B158" s="74"/>
      <c r="C158" s="206"/>
      <c r="D158" s="206"/>
      <c r="E158" s="74"/>
      <c r="F158" s="74"/>
      <c r="J158" s="73"/>
      <c r="K158" s="73"/>
      <c r="L158" s="71" t="s">
        <v>0</v>
      </c>
      <c r="W158" s="71" t="s">
        <v>0</v>
      </c>
    </row>
    <row r="159" spans="2:23" s="51" customFormat="1" ht="4.5" customHeight="1">
      <c r="B159" s="74"/>
      <c r="C159" s="206"/>
      <c r="D159" s="206"/>
      <c r="E159" s="74"/>
      <c r="F159" s="74"/>
      <c r="J159" s="73"/>
      <c r="K159" s="73"/>
      <c r="L159" s="71" t="s">
        <v>0</v>
      </c>
      <c r="W159" s="71" t="s">
        <v>0</v>
      </c>
    </row>
    <row r="160" spans="2:23" s="51" customFormat="1" ht="15" customHeight="1">
      <c r="B160" s="74"/>
      <c r="C160" s="157" t="s">
        <v>439</v>
      </c>
      <c r="D160" s="4"/>
      <c r="E160" s="4"/>
      <c r="F160" s="4"/>
      <c r="G160" s="4"/>
      <c r="H160" s="4"/>
      <c r="I160" s="4"/>
      <c r="J160" s="373"/>
      <c r="K160" s="207"/>
      <c r="L160" s="71" t="s">
        <v>0</v>
      </c>
      <c r="W160" s="71" t="s">
        <v>0</v>
      </c>
    </row>
    <row r="161" spans="2:23" s="51" customFormat="1" ht="5.25" customHeight="1">
      <c r="B161" s="74"/>
      <c r="C161" s="206"/>
      <c r="D161" s="206"/>
      <c r="E161" s="74"/>
      <c r="F161" s="74"/>
      <c r="J161" s="73"/>
      <c r="K161" s="73"/>
      <c r="L161" s="71" t="s">
        <v>0</v>
      </c>
      <c r="W161" s="71" t="s">
        <v>0</v>
      </c>
    </row>
    <row r="162" spans="2:23" s="51" customFormat="1" ht="30" customHeight="1">
      <c r="B162" s="74"/>
      <c r="C162" s="454" t="s">
        <v>484</v>
      </c>
      <c r="D162" s="455"/>
      <c r="E162" s="456"/>
      <c r="F162" s="437" t="s">
        <v>9</v>
      </c>
      <c r="G162" s="438"/>
      <c r="H162" s="438"/>
      <c r="I162" s="438"/>
      <c r="J162" s="439"/>
      <c r="K162" s="73"/>
      <c r="L162" s="71" t="s">
        <v>0</v>
      </c>
      <c r="W162" s="71" t="s">
        <v>0</v>
      </c>
    </row>
    <row r="163" spans="2:23" s="51" customFormat="1" ht="4.5" customHeight="1">
      <c r="B163" s="74"/>
      <c r="C163" s="206"/>
      <c r="D163" s="206"/>
      <c r="E163" s="74"/>
      <c r="F163" s="74"/>
      <c r="J163" s="73"/>
      <c r="K163" s="73"/>
      <c r="L163" s="71" t="s">
        <v>0</v>
      </c>
      <c r="W163" s="71" t="s">
        <v>0</v>
      </c>
    </row>
    <row r="164" spans="2:23" s="51" customFormat="1" ht="45" customHeight="1">
      <c r="B164" s="74"/>
      <c r="C164" s="454" t="s">
        <v>560</v>
      </c>
      <c r="D164" s="455"/>
      <c r="E164" s="456"/>
      <c r="F164" s="13" t="s">
        <v>128</v>
      </c>
      <c r="J164" s="73"/>
      <c r="K164" s="73"/>
      <c r="L164" s="71" t="s">
        <v>0</v>
      </c>
      <c r="W164" s="71" t="s">
        <v>0</v>
      </c>
    </row>
    <row r="165" spans="2:23" s="51" customFormat="1" ht="15" customHeight="1">
      <c r="B165" s="74"/>
      <c r="C165" s="465" t="s">
        <v>306</v>
      </c>
      <c r="D165" s="466"/>
      <c r="E165" s="467"/>
      <c r="F165" s="215" t="s">
        <v>9</v>
      </c>
      <c r="J165" s="73"/>
      <c r="K165" s="73"/>
      <c r="L165" s="71" t="s">
        <v>0</v>
      </c>
      <c r="W165" s="71" t="s">
        <v>0</v>
      </c>
    </row>
    <row r="166" spans="2:23" s="51" customFormat="1" ht="15" customHeight="1">
      <c r="B166" s="74"/>
      <c r="C166" s="474" t="s">
        <v>307</v>
      </c>
      <c r="D166" s="475"/>
      <c r="E166" s="476"/>
      <c r="F166" s="214" t="s">
        <v>9</v>
      </c>
      <c r="G166"/>
      <c r="H166"/>
      <c r="I166"/>
      <c r="J166"/>
      <c r="K166"/>
      <c r="L166" s="71" t="s">
        <v>0</v>
      </c>
      <c r="W166" s="71" t="s">
        <v>0</v>
      </c>
    </row>
    <row r="167" spans="2:23" s="51" customFormat="1" ht="4.5" customHeight="1">
      <c r="B167" s="74"/>
      <c r="C167" s="206"/>
      <c r="D167" s="206"/>
      <c r="E167" s="74"/>
      <c r="F167" s="74"/>
      <c r="G167"/>
      <c r="H167"/>
      <c r="I167"/>
      <c r="J167"/>
      <c r="K167"/>
      <c r="L167" s="71" t="s">
        <v>0</v>
      </c>
      <c r="W167" s="71" t="s">
        <v>0</v>
      </c>
    </row>
    <row r="168" spans="2:23" s="51" customFormat="1" ht="30" customHeight="1">
      <c r="B168" s="74"/>
      <c r="C168" s="454" t="s">
        <v>485</v>
      </c>
      <c r="D168" s="455"/>
      <c r="E168" s="456"/>
      <c r="F168" s="437" t="s">
        <v>9</v>
      </c>
      <c r="G168" s="438"/>
      <c r="H168" s="438"/>
      <c r="I168" s="438"/>
      <c r="J168" s="439"/>
      <c r="K168" s="73"/>
      <c r="L168" s="71" t="s">
        <v>0</v>
      </c>
      <c r="W168" s="71" t="s">
        <v>0</v>
      </c>
    </row>
    <row r="169" spans="2:23" s="51" customFormat="1" ht="4.5" customHeight="1">
      <c r="B169" s="74"/>
      <c r="C169" s="206"/>
      <c r="D169" s="206"/>
      <c r="E169" s="74"/>
      <c r="F169" s="74"/>
      <c r="J169" s="73"/>
      <c r="K169" s="73"/>
      <c r="L169" s="71" t="s">
        <v>0</v>
      </c>
      <c r="W169" s="71" t="s">
        <v>0</v>
      </c>
    </row>
    <row r="170" spans="2:23" s="51" customFormat="1" ht="15" customHeight="1">
      <c r="B170" s="74"/>
      <c r="C170" s="206"/>
      <c r="D170" s="206"/>
      <c r="E170" s="74"/>
      <c r="F170" s="74"/>
      <c r="J170" s="73"/>
      <c r="K170" s="73"/>
      <c r="L170" s="71" t="s">
        <v>0</v>
      </c>
      <c r="W170" s="71" t="s">
        <v>0</v>
      </c>
    </row>
    <row r="171" spans="2:23" s="51" customFormat="1" ht="4.5" customHeight="1">
      <c r="B171" s="74"/>
      <c r="C171" s="206"/>
      <c r="D171" s="206"/>
      <c r="E171" s="74"/>
      <c r="F171" s="74"/>
      <c r="J171" s="73"/>
      <c r="K171" s="73"/>
      <c r="L171" s="71" t="s">
        <v>0</v>
      </c>
      <c r="W171" s="71" t="s">
        <v>0</v>
      </c>
    </row>
    <row r="172" spans="2:23" s="51" customFormat="1" ht="15" customHeight="1">
      <c r="B172" s="74"/>
      <c r="C172" s="157" t="s">
        <v>441</v>
      </c>
      <c r="D172" s="4"/>
      <c r="E172" s="4"/>
      <c r="F172" s="4"/>
      <c r="G172" s="4"/>
      <c r="H172" s="4"/>
      <c r="I172" s="4"/>
      <c r="J172" s="373"/>
      <c r="K172" s="207"/>
      <c r="L172" s="71" t="s">
        <v>0</v>
      </c>
      <c r="W172" s="71" t="s">
        <v>0</v>
      </c>
    </row>
    <row r="173" spans="2:23" s="51" customFormat="1" ht="4.5" customHeight="1">
      <c r="B173" s="74"/>
      <c r="C173" s="206"/>
      <c r="D173" s="206"/>
      <c r="E173" s="74"/>
      <c r="F173" s="74"/>
      <c r="J173" s="73"/>
      <c r="K173" s="73"/>
      <c r="L173" s="71" t="s">
        <v>0</v>
      </c>
      <c r="W173" s="71" t="s">
        <v>0</v>
      </c>
    </row>
    <row r="174" spans="2:23" s="51" customFormat="1" ht="15" customHeight="1">
      <c r="B174" s="74"/>
      <c r="C174" s="454" t="str">
        <f>"29. Please provide the maximum value of sponsor support (in "&amp;Participant!D14&amp;" of "&amp;Participant!D13&amp;")."</f>
        <v>29. Please provide the maximum value of sponsor support (in - of -).</v>
      </c>
      <c r="D174" s="455"/>
      <c r="E174" s="456"/>
      <c r="F174" s="13" t="s">
        <v>121</v>
      </c>
      <c r="J174" s="73"/>
      <c r="K174" s="73"/>
      <c r="L174" s="71" t="s">
        <v>0</v>
      </c>
      <c r="W174" s="71" t="s">
        <v>0</v>
      </c>
    </row>
    <row r="175" spans="2:23" s="51" customFormat="1" ht="15" customHeight="1">
      <c r="B175" s="74"/>
      <c r="C175" s="480" t="s">
        <v>440</v>
      </c>
      <c r="D175" s="481"/>
      <c r="E175" s="482"/>
      <c r="F175" s="433" t="s">
        <v>9</v>
      </c>
      <c r="J175" s="73"/>
      <c r="K175" s="73"/>
      <c r="L175" s="71" t="s">
        <v>0</v>
      </c>
      <c r="W175" s="71" t="s">
        <v>0</v>
      </c>
    </row>
    <row r="176" spans="2:23" s="51" customFormat="1" ht="4.5" customHeight="1">
      <c r="B176" s="74"/>
      <c r="C176" s="206"/>
      <c r="D176" s="206"/>
      <c r="E176" s="74"/>
      <c r="F176" s="74"/>
      <c r="J176" s="73"/>
      <c r="K176" s="73"/>
      <c r="L176" s="71" t="s">
        <v>0</v>
      </c>
      <c r="W176" s="71" t="s">
        <v>0</v>
      </c>
    </row>
    <row r="177" spans="2:23" s="51" customFormat="1" ht="30.75" customHeight="1">
      <c r="B177" s="74"/>
      <c r="C177" s="454" t="s">
        <v>486</v>
      </c>
      <c r="D177" s="455"/>
      <c r="E177" s="456"/>
      <c r="F177" s="3" t="s">
        <v>128</v>
      </c>
      <c r="J177" s="73"/>
      <c r="K177" s="73"/>
      <c r="L177" s="71" t="s">
        <v>0</v>
      </c>
      <c r="W177" s="71" t="s">
        <v>0</v>
      </c>
    </row>
    <row r="178" spans="2:23" s="51" customFormat="1" ht="15" customHeight="1">
      <c r="B178" s="74"/>
      <c r="C178" s="355" t="s">
        <v>360</v>
      </c>
      <c r="D178" s="19"/>
      <c r="E178" s="19"/>
      <c r="F178" s="215" t="s">
        <v>9</v>
      </c>
      <c r="J178" s="73"/>
      <c r="K178" s="73"/>
      <c r="L178" s="71" t="s">
        <v>0</v>
      </c>
      <c r="W178" s="71" t="s">
        <v>0</v>
      </c>
    </row>
    <row r="179" spans="2:23" s="51" customFormat="1" ht="15" customHeight="1">
      <c r="B179" s="74"/>
      <c r="C179" s="356" t="s">
        <v>361</v>
      </c>
      <c r="D179" s="16"/>
      <c r="E179" s="16"/>
      <c r="F179" s="211" t="s">
        <v>9</v>
      </c>
      <c r="J179" s="73"/>
      <c r="K179" s="73"/>
      <c r="L179" s="71" t="s">
        <v>0</v>
      </c>
      <c r="W179" s="71" t="s">
        <v>0</v>
      </c>
    </row>
    <row r="180" spans="2:23" s="51" customFormat="1" ht="15" customHeight="1">
      <c r="B180" s="74"/>
      <c r="C180" s="357" t="s">
        <v>362</v>
      </c>
      <c r="D180" s="308"/>
      <c r="E180" s="308"/>
      <c r="F180" s="214" t="s">
        <v>9</v>
      </c>
      <c r="J180" s="73"/>
      <c r="K180" s="73"/>
      <c r="L180" s="71" t="s">
        <v>0</v>
      </c>
      <c r="W180" s="71" t="s">
        <v>0</v>
      </c>
    </row>
    <row r="181" spans="2:23" s="51" customFormat="1" ht="6" customHeight="1">
      <c r="B181" s="74"/>
      <c r="C181" s="206"/>
      <c r="D181" s="206"/>
      <c r="E181" s="74"/>
      <c r="F181" s="74"/>
      <c r="J181" s="73"/>
      <c r="K181" s="73"/>
      <c r="L181" s="71" t="s">
        <v>0</v>
      </c>
      <c r="W181" s="71" t="s">
        <v>0</v>
      </c>
    </row>
    <row r="182" spans="2:23" s="51" customFormat="1" ht="30" customHeight="1">
      <c r="B182" s="74"/>
      <c r="C182" s="460" t="s">
        <v>487</v>
      </c>
      <c r="D182" s="461"/>
      <c r="E182" s="462"/>
      <c r="F182" s="13" t="s">
        <v>128</v>
      </c>
      <c r="J182" s="73"/>
      <c r="K182" s="73"/>
      <c r="L182" s="71" t="s">
        <v>0</v>
      </c>
      <c r="W182" s="71" t="s">
        <v>0</v>
      </c>
    </row>
    <row r="183" spans="2:23" s="51" customFormat="1" ht="15" customHeight="1">
      <c r="B183" s="74"/>
      <c r="C183" s="291" t="s">
        <v>363</v>
      </c>
      <c r="D183" s="19"/>
      <c r="E183" s="19"/>
      <c r="F183" s="215" t="s">
        <v>9</v>
      </c>
      <c r="J183" s="73"/>
      <c r="K183" s="73"/>
      <c r="L183" s="71" t="s">
        <v>0</v>
      </c>
      <c r="W183" s="71" t="s">
        <v>0</v>
      </c>
    </row>
    <row r="184" spans="2:23" s="51" customFormat="1" ht="15" customHeight="1">
      <c r="B184" s="74"/>
      <c r="C184" s="292" t="s">
        <v>364</v>
      </c>
      <c r="D184" s="16"/>
      <c r="E184" s="16"/>
      <c r="F184" s="211" t="s">
        <v>9</v>
      </c>
      <c r="J184" s="73"/>
      <c r="K184" s="73"/>
      <c r="L184" s="71" t="s">
        <v>0</v>
      </c>
      <c r="W184" s="71" t="s">
        <v>0</v>
      </c>
    </row>
    <row r="185" spans="2:23" s="51" customFormat="1" ht="15" customHeight="1">
      <c r="B185" s="74"/>
      <c r="C185" s="292" t="s">
        <v>365</v>
      </c>
      <c r="D185" s="16"/>
      <c r="E185" s="16"/>
      <c r="F185" s="211" t="s">
        <v>9</v>
      </c>
      <c r="J185" s="73"/>
      <c r="K185" s="73"/>
      <c r="L185" s="71" t="s">
        <v>0</v>
      </c>
      <c r="W185" s="71" t="s">
        <v>0</v>
      </c>
    </row>
    <row r="186" spans="2:23" s="51" customFormat="1" ht="15" customHeight="1">
      <c r="B186" s="74"/>
      <c r="C186" s="292" t="s">
        <v>366</v>
      </c>
      <c r="D186" s="304"/>
      <c r="E186" s="304"/>
      <c r="F186" s="211" t="s">
        <v>9</v>
      </c>
      <c r="J186" s="73"/>
      <c r="K186" s="73"/>
      <c r="L186" s="71" t="s">
        <v>0</v>
      </c>
      <c r="W186" s="71" t="s">
        <v>0</v>
      </c>
    </row>
    <row r="187" spans="2:23" s="51" customFormat="1" ht="15" customHeight="1">
      <c r="B187" s="74"/>
      <c r="C187" s="292" t="s">
        <v>367</v>
      </c>
      <c r="D187" s="16"/>
      <c r="E187" s="16"/>
      <c r="F187" s="211" t="s">
        <v>9</v>
      </c>
      <c r="J187" s="73"/>
      <c r="K187" s="73"/>
      <c r="L187" s="71" t="s">
        <v>0</v>
      </c>
      <c r="W187" s="71" t="s">
        <v>0</v>
      </c>
    </row>
    <row r="188" spans="2:23" s="51" customFormat="1" ht="15" customHeight="1">
      <c r="B188" s="74"/>
      <c r="C188" s="293" t="s">
        <v>76</v>
      </c>
      <c r="D188" s="308"/>
      <c r="E188" s="308"/>
      <c r="F188" s="214" t="s">
        <v>9</v>
      </c>
      <c r="J188" s="73"/>
      <c r="K188" s="73"/>
      <c r="L188" s="71" t="s">
        <v>0</v>
      </c>
      <c r="W188" s="71" t="s">
        <v>0</v>
      </c>
    </row>
    <row r="189" spans="2:23" s="51" customFormat="1" ht="4.5" customHeight="1">
      <c r="B189" s="74"/>
      <c r="C189" s="206"/>
      <c r="D189" s="206"/>
      <c r="E189" s="74"/>
      <c r="F189" s="74"/>
      <c r="J189" s="73"/>
      <c r="K189" s="73"/>
      <c r="L189" s="71" t="s">
        <v>0</v>
      </c>
      <c r="W189" s="71" t="s">
        <v>0</v>
      </c>
    </row>
    <row r="190" spans="2:23" s="51" customFormat="1" ht="30" customHeight="1">
      <c r="B190" s="74"/>
      <c r="C190" s="454" t="s">
        <v>501</v>
      </c>
      <c r="D190" s="455"/>
      <c r="E190" s="456"/>
      <c r="F190" s="434" t="s">
        <v>557</v>
      </c>
      <c r="J190" s="73"/>
      <c r="K190" s="73"/>
      <c r="L190" s="71" t="s">
        <v>0</v>
      </c>
      <c r="W190" s="71" t="s">
        <v>0</v>
      </c>
    </row>
    <row r="191" spans="2:23" s="51" customFormat="1" ht="4.5" customHeight="1">
      <c r="B191" s="74"/>
      <c r="C191" s="206"/>
      <c r="D191" s="206"/>
      <c r="E191" s="74"/>
      <c r="F191" s="74"/>
      <c r="J191" s="73"/>
      <c r="K191" s="73"/>
      <c r="L191" s="71" t="s">
        <v>0</v>
      </c>
      <c r="W191" s="71" t="s">
        <v>0</v>
      </c>
    </row>
    <row r="192" spans="2:23" s="51" customFormat="1" ht="45" customHeight="1">
      <c r="B192" s="74"/>
      <c r="C192" s="460" t="s">
        <v>502</v>
      </c>
      <c r="D192" s="461"/>
      <c r="E192" s="462"/>
      <c r="F192" s="13" t="s">
        <v>128</v>
      </c>
      <c r="J192" s="73"/>
      <c r="K192" s="73"/>
      <c r="L192" s="71" t="s">
        <v>0</v>
      </c>
      <c r="W192" s="71" t="s">
        <v>0</v>
      </c>
    </row>
    <row r="193" spans="2:23" s="51" customFormat="1" ht="15" customHeight="1">
      <c r="B193" s="74"/>
      <c r="C193" s="291" t="s">
        <v>368</v>
      </c>
      <c r="D193" s="19"/>
      <c r="E193" s="305"/>
      <c r="F193" s="215" t="s">
        <v>9</v>
      </c>
      <c r="J193" s="73"/>
      <c r="K193" s="73"/>
      <c r="L193" s="71" t="s">
        <v>0</v>
      </c>
      <c r="W193" s="71" t="s">
        <v>0</v>
      </c>
    </row>
    <row r="194" spans="2:23" s="51" customFormat="1" ht="15" customHeight="1">
      <c r="B194" s="74"/>
      <c r="C194" s="292" t="s">
        <v>369</v>
      </c>
      <c r="D194" s="16"/>
      <c r="E194" s="306"/>
      <c r="F194" s="211" t="s">
        <v>9</v>
      </c>
      <c r="J194" s="73"/>
      <c r="K194" s="73"/>
      <c r="L194" s="71" t="s">
        <v>0</v>
      </c>
      <c r="W194" s="71" t="s">
        <v>0</v>
      </c>
    </row>
    <row r="195" spans="2:23" s="51" customFormat="1" ht="15" customHeight="1">
      <c r="B195" s="74"/>
      <c r="C195" s="292" t="s">
        <v>370</v>
      </c>
      <c r="D195" s="16"/>
      <c r="E195" s="306"/>
      <c r="F195" s="211" t="s">
        <v>9</v>
      </c>
      <c r="J195" s="73"/>
      <c r="K195" s="73"/>
      <c r="L195" s="71" t="s">
        <v>0</v>
      </c>
      <c r="W195" s="71" t="s">
        <v>0</v>
      </c>
    </row>
    <row r="196" spans="2:23" s="51" customFormat="1" ht="15" customHeight="1">
      <c r="B196" s="74"/>
      <c r="C196" s="292" t="s">
        <v>371</v>
      </c>
      <c r="D196" s="304"/>
      <c r="E196" s="307"/>
      <c r="F196" s="211" t="s">
        <v>9</v>
      </c>
      <c r="J196" s="73"/>
      <c r="K196" s="73"/>
      <c r="L196" s="71" t="s">
        <v>0</v>
      </c>
      <c r="W196" s="71" t="s">
        <v>0</v>
      </c>
    </row>
    <row r="197" spans="2:23" s="51" customFormat="1" ht="15" customHeight="1">
      <c r="B197" s="74"/>
      <c r="C197" s="292" t="s">
        <v>372</v>
      </c>
      <c r="D197" s="16"/>
      <c r="E197" s="306"/>
      <c r="F197" s="211" t="s">
        <v>9</v>
      </c>
      <c r="J197" s="73"/>
      <c r="K197" s="73"/>
      <c r="L197" s="71" t="s">
        <v>0</v>
      </c>
      <c r="W197" s="71" t="s">
        <v>0</v>
      </c>
    </row>
    <row r="198" spans="2:23" s="51" customFormat="1" ht="15" customHeight="1">
      <c r="B198" s="74"/>
      <c r="C198" s="292" t="s">
        <v>373</v>
      </c>
      <c r="D198" s="16"/>
      <c r="E198" s="306"/>
      <c r="F198" s="211" t="s">
        <v>9</v>
      </c>
      <c r="J198" s="73"/>
      <c r="K198" s="73"/>
      <c r="L198" s="71" t="s">
        <v>0</v>
      </c>
      <c r="W198" s="71" t="s">
        <v>0</v>
      </c>
    </row>
    <row r="199" spans="2:23" s="51" customFormat="1" ht="15" customHeight="1">
      <c r="B199" s="74"/>
      <c r="C199" s="293" t="s">
        <v>190</v>
      </c>
      <c r="D199" s="308"/>
      <c r="E199" s="311"/>
      <c r="F199" s="214" t="s">
        <v>9</v>
      </c>
      <c r="G199" s="138"/>
      <c r="J199" s="73"/>
      <c r="K199" s="73"/>
      <c r="L199" s="71" t="s">
        <v>0</v>
      </c>
      <c r="W199" s="71" t="s">
        <v>0</v>
      </c>
    </row>
    <row r="200" spans="2:23" s="51" customFormat="1" ht="4.5" customHeight="1">
      <c r="B200" s="74"/>
      <c r="C200" s="309"/>
      <c r="D200" s="310"/>
      <c r="E200" s="310"/>
      <c r="F200" s="228"/>
      <c r="G200" s="138"/>
      <c r="J200" s="73"/>
      <c r="K200" s="73"/>
      <c r="L200" s="71" t="s">
        <v>0</v>
      </c>
      <c r="W200" s="71" t="s">
        <v>0</v>
      </c>
    </row>
    <row r="201" spans="2:23" s="51" customFormat="1" ht="15" customHeight="1">
      <c r="B201" s="74"/>
      <c r="C201" s="309"/>
      <c r="D201" s="310"/>
      <c r="E201" s="310"/>
      <c r="F201" s="228"/>
      <c r="G201" s="138"/>
      <c r="J201" s="73"/>
      <c r="K201" s="73"/>
      <c r="L201" s="71" t="s">
        <v>0</v>
      </c>
      <c r="W201" s="71" t="s">
        <v>0</v>
      </c>
    </row>
    <row r="202" spans="2:23" s="51" customFormat="1" ht="4.5" customHeight="1">
      <c r="B202" s="74"/>
      <c r="C202" s="309"/>
      <c r="D202" s="310"/>
      <c r="E202" s="310"/>
      <c r="F202" s="228"/>
      <c r="G202" s="138"/>
      <c r="J202" s="73"/>
      <c r="K202" s="73"/>
      <c r="L202" s="71" t="s">
        <v>0</v>
      </c>
      <c r="W202" s="71" t="s">
        <v>0</v>
      </c>
    </row>
    <row r="203" spans="2:23" s="51" customFormat="1" ht="15" customHeight="1">
      <c r="B203" s="74"/>
      <c r="C203" s="157" t="s">
        <v>442</v>
      </c>
      <c r="D203" s="4"/>
      <c r="E203" s="4"/>
      <c r="F203" s="4"/>
      <c r="G203" s="4"/>
      <c r="H203" s="4"/>
      <c r="I203" s="4"/>
      <c r="J203" s="373"/>
      <c r="K203" s="207"/>
      <c r="L203" s="71" t="s">
        <v>0</v>
      </c>
      <c r="W203" s="71" t="s">
        <v>0</v>
      </c>
    </row>
    <row r="204" spans="2:23" s="51" customFormat="1" ht="4.5" customHeight="1">
      <c r="B204" s="74"/>
      <c r="C204" s="309"/>
      <c r="D204" s="310"/>
      <c r="E204" s="310"/>
      <c r="F204" s="228"/>
      <c r="G204" s="138"/>
      <c r="J204" s="73"/>
      <c r="K204" s="73"/>
      <c r="L204" s="71" t="s">
        <v>0</v>
      </c>
      <c r="W204" s="71" t="s">
        <v>0</v>
      </c>
    </row>
    <row r="205" spans="2:23" s="51" customFormat="1" ht="60">
      <c r="B205" s="74"/>
      <c r="C205" s="14" t="str">
        <f>"37. Please complete the following table with data on the IORP's sponsor(s), taking into account the guidance provided in paragraphs 3.38-45 of the stress test specifications  (in "&amp;Participant!D14&amp;" of "&amp;Participant!D13&amp;")"</f>
        <v>37. Please complete the following table with data on the IORP's sponsor(s), taking into account the guidance provided in paragraphs 3.38-45 of the stress test specifications  (in - of -)</v>
      </c>
      <c r="D205" s="13" t="s">
        <v>287</v>
      </c>
      <c r="E205" s="13">
        <v>2014</v>
      </c>
      <c r="F205" s="13">
        <v>2015</v>
      </c>
      <c r="G205" s="13">
        <v>2016</v>
      </c>
      <c r="J205" s="73"/>
      <c r="K205" s="73"/>
      <c r="L205" s="71" t="s">
        <v>0</v>
      </c>
      <c r="W205" s="71" t="s">
        <v>0</v>
      </c>
    </row>
    <row r="206" spans="2:23" s="51" customFormat="1" ht="30">
      <c r="B206" s="74"/>
      <c r="C206" s="21" t="s">
        <v>309</v>
      </c>
      <c r="D206" s="178"/>
      <c r="E206" s="230"/>
      <c r="F206" s="230"/>
      <c r="G206" s="225"/>
      <c r="J206" s="73"/>
      <c r="K206" s="73"/>
      <c r="L206" s="71" t="s">
        <v>0</v>
      </c>
      <c r="W206" s="71" t="s">
        <v>0</v>
      </c>
    </row>
    <row r="207" spans="2:23" s="51" customFormat="1" ht="15" customHeight="1">
      <c r="B207" s="74"/>
      <c r="C207" s="255" t="s">
        <v>207</v>
      </c>
      <c r="D207" s="182"/>
      <c r="E207" s="422" t="s">
        <v>9</v>
      </c>
      <c r="F207" s="422" t="s">
        <v>9</v>
      </c>
      <c r="G207" s="234" t="s">
        <v>9</v>
      </c>
      <c r="J207" s="73"/>
      <c r="K207" s="73"/>
      <c r="L207" s="71" t="s">
        <v>0</v>
      </c>
      <c r="W207" s="71" t="s">
        <v>0</v>
      </c>
    </row>
    <row r="208" spans="2:23" s="51" customFormat="1" ht="15" customHeight="1">
      <c r="B208" s="74"/>
      <c r="C208" s="255" t="s">
        <v>208</v>
      </c>
      <c r="D208" s="182"/>
      <c r="E208" s="418" t="s">
        <v>9</v>
      </c>
      <c r="F208" s="418" t="s">
        <v>9</v>
      </c>
      <c r="G208" s="365" t="s">
        <v>9</v>
      </c>
      <c r="J208" s="73"/>
      <c r="K208" s="73"/>
      <c r="L208" s="71" t="s">
        <v>0</v>
      </c>
      <c r="W208" s="71" t="s">
        <v>0</v>
      </c>
    </row>
    <row r="209" spans="2:23" s="51" customFormat="1" ht="15" customHeight="1">
      <c r="B209" s="74"/>
      <c r="C209" s="255" t="s">
        <v>209</v>
      </c>
      <c r="D209" s="182"/>
      <c r="E209" s="418" t="s">
        <v>9</v>
      </c>
      <c r="F209" s="418" t="s">
        <v>9</v>
      </c>
      <c r="G209" s="365" t="s">
        <v>9</v>
      </c>
      <c r="J209" s="73"/>
      <c r="K209" s="73"/>
      <c r="L209" s="71" t="s">
        <v>0</v>
      </c>
      <c r="W209" s="71" t="s">
        <v>0</v>
      </c>
    </row>
    <row r="210" spans="2:23" s="51" customFormat="1" ht="15" customHeight="1">
      <c r="B210" s="74"/>
      <c r="C210" s="82" t="s">
        <v>210</v>
      </c>
      <c r="D210" s="179"/>
      <c r="E210" s="353" t="s">
        <v>9</v>
      </c>
      <c r="F210" s="353" t="s">
        <v>9</v>
      </c>
      <c r="G210" s="235" t="s">
        <v>9</v>
      </c>
      <c r="J210" s="73"/>
      <c r="K210" s="73"/>
      <c r="L210" s="71" t="s">
        <v>0</v>
      </c>
      <c r="W210" s="71" t="s">
        <v>0</v>
      </c>
    </row>
    <row r="211" spans="2:23" s="51" customFormat="1" ht="15" customHeight="1">
      <c r="B211" s="74"/>
      <c r="C211" s="266" t="s">
        <v>310</v>
      </c>
      <c r="D211" s="178"/>
      <c r="E211" s="232"/>
      <c r="F211" s="232"/>
      <c r="G211" s="184"/>
      <c r="J211" s="73"/>
      <c r="K211" s="73"/>
      <c r="L211" s="71" t="s">
        <v>0</v>
      </c>
      <c r="W211" s="71" t="s">
        <v>0</v>
      </c>
    </row>
    <row r="212" spans="2:23" s="51" customFormat="1" ht="31.5" customHeight="1">
      <c r="B212" s="74"/>
      <c r="C212" s="312" t="s">
        <v>311</v>
      </c>
      <c r="D212" s="422" t="s">
        <v>9</v>
      </c>
      <c r="E212" s="224"/>
      <c r="F212" s="224"/>
      <c r="G212" s="223"/>
      <c r="J212" s="73"/>
      <c r="K212" s="73"/>
      <c r="L212" s="71" t="s">
        <v>0</v>
      </c>
      <c r="W212" s="71" t="s">
        <v>0</v>
      </c>
    </row>
    <row r="213" spans="2:23" s="51" customFormat="1" ht="15" customHeight="1">
      <c r="B213" s="74"/>
      <c r="C213" s="270" t="s">
        <v>312</v>
      </c>
      <c r="D213" s="353" t="s">
        <v>9</v>
      </c>
      <c r="E213" s="267"/>
      <c r="F213" s="267"/>
      <c r="G213" s="186"/>
      <c r="J213" s="73"/>
      <c r="K213" s="73"/>
      <c r="L213" s="71" t="s">
        <v>0</v>
      </c>
      <c r="W213" s="71" t="s">
        <v>0</v>
      </c>
    </row>
    <row r="214" spans="2:23" s="51" customFormat="1" ht="15" customHeight="1">
      <c r="B214" s="74"/>
      <c r="C214" s="268" t="s">
        <v>313</v>
      </c>
      <c r="D214" s="419" t="s">
        <v>9</v>
      </c>
      <c r="E214" s="230"/>
      <c r="F214" s="230"/>
      <c r="G214" s="225"/>
      <c r="J214" s="73"/>
      <c r="K214" s="73"/>
      <c r="L214" s="71" t="s">
        <v>0</v>
      </c>
      <c r="W214" s="71" t="s">
        <v>0</v>
      </c>
    </row>
    <row r="215" spans="2:23" s="51" customFormat="1" ht="30" customHeight="1">
      <c r="B215" s="74"/>
      <c r="C215" s="269" t="s">
        <v>314</v>
      </c>
      <c r="D215" s="419" t="s">
        <v>9</v>
      </c>
      <c r="E215" s="230"/>
      <c r="F215" s="230"/>
      <c r="G215" s="225"/>
      <c r="J215" s="73"/>
      <c r="K215" s="73"/>
      <c r="L215" s="71" t="s">
        <v>0</v>
      </c>
      <c r="W215" s="71" t="s">
        <v>0</v>
      </c>
    </row>
    <row r="216" spans="2:23" s="51" customFormat="1" ht="15" customHeight="1">
      <c r="B216" s="74"/>
      <c r="C216" s="359" t="s">
        <v>492</v>
      </c>
      <c r="D216" s="419" t="s">
        <v>9</v>
      </c>
      <c r="E216" s="230"/>
      <c r="F216" s="230"/>
      <c r="G216" s="225"/>
      <c r="J216" s="73"/>
      <c r="K216" s="73"/>
      <c r="L216" s="71" t="s">
        <v>0</v>
      </c>
      <c r="W216" s="71" t="s">
        <v>0</v>
      </c>
    </row>
    <row r="217" spans="2:23" s="51" customFormat="1" ht="15" customHeight="1">
      <c r="B217" s="74"/>
      <c r="C217" s="358" t="s">
        <v>493</v>
      </c>
      <c r="D217" s="419" t="s">
        <v>9</v>
      </c>
      <c r="E217" s="230"/>
      <c r="F217" s="230"/>
      <c r="G217" s="225"/>
      <c r="J217" s="73"/>
      <c r="K217" s="73"/>
      <c r="L217" s="71" t="s">
        <v>0</v>
      </c>
      <c r="W217" s="71" t="s">
        <v>0</v>
      </c>
    </row>
    <row r="218" spans="2:23" s="51" customFormat="1" ht="4.5" customHeight="1">
      <c r="B218" s="74"/>
      <c r="C218" s="309"/>
      <c r="D218" s="310"/>
      <c r="E218" s="310"/>
      <c r="F218" s="228"/>
      <c r="G218"/>
      <c r="H218"/>
      <c r="J218" s="73"/>
      <c r="K218" s="73"/>
      <c r="L218" s="71" t="s">
        <v>0</v>
      </c>
      <c r="W218" s="71" t="s">
        <v>0</v>
      </c>
    </row>
    <row r="219" spans="2:23" s="51" customFormat="1" ht="135">
      <c r="B219" s="74"/>
      <c r="C219" s="14" t="s">
        <v>503</v>
      </c>
      <c r="D219" s="3" t="s">
        <v>378</v>
      </c>
      <c r="E219" s="3" t="s">
        <v>379</v>
      </c>
      <c r="F219" s="17" t="s">
        <v>488</v>
      </c>
      <c r="G219"/>
      <c r="H219"/>
      <c r="J219" s="73"/>
      <c r="K219" s="73"/>
      <c r="L219" s="71" t="s">
        <v>0</v>
      </c>
      <c r="W219" s="71" t="s">
        <v>0</v>
      </c>
    </row>
    <row r="220" spans="2:23" s="51" customFormat="1" ht="15" customHeight="1">
      <c r="B220" s="74"/>
      <c r="C220" s="21" t="s">
        <v>374</v>
      </c>
      <c r="D220" s="316"/>
      <c r="E220" s="316"/>
      <c r="F220" s="225"/>
      <c r="G220"/>
      <c r="H220"/>
      <c r="J220" s="73"/>
      <c r="K220" s="73"/>
      <c r="L220" s="71" t="s">
        <v>0</v>
      </c>
      <c r="W220" s="71" t="s">
        <v>0</v>
      </c>
    </row>
    <row r="221" spans="2:23" s="51" customFormat="1" ht="15" customHeight="1">
      <c r="B221" s="74"/>
      <c r="C221" s="255" t="s">
        <v>207</v>
      </c>
      <c r="D221" s="214" t="s">
        <v>9</v>
      </c>
      <c r="E221" s="214" t="s">
        <v>9</v>
      </c>
      <c r="F221" s="303" t="s">
        <v>9</v>
      </c>
      <c r="G221"/>
      <c r="H221"/>
      <c r="J221" s="73"/>
      <c r="K221" s="73"/>
      <c r="L221" s="71" t="s">
        <v>0</v>
      </c>
      <c r="W221" s="71" t="s">
        <v>0</v>
      </c>
    </row>
    <row r="222" spans="2:23" s="51" customFormat="1" ht="15" customHeight="1">
      <c r="B222" s="74"/>
      <c r="C222" s="255" t="s">
        <v>208</v>
      </c>
      <c r="D222" s="214" t="s">
        <v>9</v>
      </c>
      <c r="E222" s="214" t="s">
        <v>9</v>
      </c>
      <c r="F222" s="303" t="s">
        <v>9</v>
      </c>
      <c r="G222"/>
      <c r="H222"/>
      <c r="J222" s="73"/>
      <c r="K222" s="73"/>
      <c r="L222" s="71" t="s">
        <v>0</v>
      </c>
      <c r="W222" s="71" t="s">
        <v>0</v>
      </c>
    </row>
    <row r="223" spans="2:23" s="51" customFormat="1" ht="15" customHeight="1">
      <c r="B223" s="74"/>
      <c r="C223" s="255" t="s">
        <v>209</v>
      </c>
      <c r="D223" s="214" t="s">
        <v>9</v>
      </c>
      <c r="E223" s="214" t="s">
        <v>9</v>
      </c>
      <c r="F223" s="303" t="s">
        <v>9</v>
      </c>
      <c r="G223"/>
      <c r="H223"/>
      <c r="J223" s="73"/>
      <c r="K223" s="73"/>
      <c r="L223" s="71" t="s">
        <v>0</v>
      </c>
      <c r="W223" s="71" t="s">
        <v>0</v>
      </c>
    </row>
    <row r="224" spans="2:23" s="51" customFormat="1" ht="15" customHeight="1">
      <c r="B224" s="74"/>
      <c r="C224" s="270" t="s">
        <v>376</v>
      </c>
      <c r="D224" s="214" t="s">
        <v>9</v>
      </c>
      <c r="E224" s="214" t="s">
        <v>9</v>
      </c>
      <c r="F224" s="303" t="s">
        <v>9</v>
      </c>
      <c r="G224"/>
      <c r="H224"/>
      <c r="J224" s="73"/>
      <c r="K224" s="73"/>
      <c r="L224" s="71" t="s">
        <v>0</v>
      </c>
      <c r="W224" s="71" t="s">
        <v>0</v>
      </c>
    </row>
    <row r="225" spans="2:23" s="51" customFormat="1" ht="15" customHeight="1">
      <c r="B225" s="74"/>
      <c r="C225" s="266" t="s">
        <v>377</v>
      </c>
      <c r="D225" s="316"/>
      <c r="E225" s="316"/>
      <c r="F225" s="316"/>
      <c r="G225"/>
      <c r="H225"/>
      <c r="J225" s="73"/>
      <c r="K225" s="73"/>
      <c r="L225" s="71" t="s">
        <v>0</v>
      </c>
      <c r="W225" s="71" t="s">
        <v>0</v>
      </c>
    </row>
    <row r="226" spans="2:23" s="51" customFormat="1" ht="30">
      <c r="B226" s="74"/>
      <c r="C226" s="312" t="s">
        <v>311</v>
      </c>
      <c r="D226" s="214" t="s">
        <v>9</v>
      </c>
      <c r="E226" s="214" t="s">
        <v>9</v>
      </c>
      <c r="F226" s="303" t="s">
        <v>9</v>
      </c>
      <c r="G226"/>
      <c r="H226"/>
      <c r="J226" s="73"/>
      <c r="K226" s="73"/>
      <c r="L226" s="71" t="s">
        <v>0</v>
      </c>
      <c r="W226" s="71" t="s">
        <v>0</v>
      </c>
    </row>
    <row r="227" spans="2:23" s="51" customFormat="1" ht="15" customHeight="1">
      <c r="B227" s="74"/>
      <c r="C227" s="270" t="s">
        <v>375</v>
      </c>
      <c r="D227" s="214" t="s">
        <v>9</v>
      </c>
      <c r="E227" s="214" t="s">
        <v>9</v>
      </c>
      <c r="F227" s="303" t="s">
        <v>9</v>
      </c>
      <c r="G227"/>
      <c r="H227"/>
      <c r="J227" s="73"/>
      <c r="K227" s="73"/>
      <c r="L227" s="71" t="s">
        <v>0</v>
      </c>
      <c r="W227" s="71" t="s">
        <v>0</v>
      </c>
    </row>
    <row r="228" spans="2:23" s="51" customFormat="1" ht="15" customHeight="1">
      <c r="B228" s="74"/>
      <c r="C228" s="268" t="s">
        <v>313</v>
      </c>
      <c r="D228" s="214" t="s">
        <v>9</v>
      </c>
      <c r="E228" s="214" t="s">
        <v>9</v>
      </c>
      <c r="F228" s="303" t="s">
        <v>9</v>
      </c>
      <c r="G228"/>
      <c r="H228"/>
      <c r="J228" s="73"/>
      <c r="K228" s="73"/>
      <c r="L228" s="71" t="s">
        <v>0</v>
      </c>
      <c r="W228" s="71" t="s">
        <v>0</v>
      </c>
    </row>
    <row r="229" spans="2:23" s="51" customFormat="1" ht="15" customHeight="1">
      <c r="B229" s="74"/>
      <c r="C229" s="358" t="s">
        <v>492</v>
      </c>
      <c r="D229" s="214" t="s">
        <v>9</v>
      </c>
      <c r="E229" s="214" t="s">
        <v>9</v>
      </c>
      <c r="F229" s="303" t="s">
        <v>9</v>
      </c>
      <c r="G229"/>
      <c r="H229"/>
      <c r="J229" s="73"/>
      <c r="K229" s="73"/>
      <c r="L229" s="71" t="s">
        <v>0</v>
      </c>
      <c r="W229" s="71" t="s">
        <v>0</v>
      </c>
    </row>
    <row r="230" spans="2:23" s="51" customFormat="1" ht="15" customHeight="1">
      <c r="B230" s="74"/>
      <c r="C230" s="358" t="s">
        <v>493</v>
      </c>
      <c r="D230" s="214" t="s">
        <v>9</v>
      </c>
      <c r="E230" s="214" t="s">
        <v>9</v>
      </c>
      <c r="F230" s="303" t="s">
        <v>9</v>
      </c>
      <c r="G230"/>
      <c r="H230"/>
      <c r="J230" s="73"/>
      <c r="K230" s="73"/>
      <c r="L230" s="71" t="s">
        <v>0</v>
      </c>
      <c r="W230" s="71" t="s">
        <v>0</v>
      </c>
    </row>
    <row r="231" spans="1:23" s="51" customFormat="1" ht="4.5" customHeight="1">
      <c r="A231" s="138"/>
      <c r="B231" s="74"/>
      <c r="C231" s="313"/>
      <c r="D231" s="314"/>
      <c r="E231" s="315"/>
      <c r="F231" s="315"/>
      <c r="G231"/>
      <c r="H231"/>
      <c r="J231" s="73"/>
      <c r="K231" s="73"/>
      <c r="L231" s="71" t="s">
        <v>0</v>
      </c>
      <c r="W231" s="71" t="s">
        <v>0</v>
      </c>
    </row>
    <row r="232" spans="1:23" s="51" customFormat="1" ht="15" customHeight="1">
      <c r="A232" s="138"/>
      <c r="B232" s="74"/>
      <c r="C232" s="313"/>
      <c r="D232" s="314"/>
      <c r="E232" s="315"/>
      <c r="F232" s="315"/>
      <c r="G232"/>
      <c r="H232"/>
      <c r="J232" s="73"/>
      <c r="K232" s="73"/>
      <c r="L232" s="71" t="s">
        <v>0</v>
      </c>
      <c r="W232" s="71" t="s">
        <v>0</v>
      </c>
    </row>
    <row r="233" spans="1:23" s="51" customFormat="1" ht="4.5" customHeight="1">
      <c r="A233" s="138"/>
      <c r="B233" s="74"/>
      <c r="C233" s="313"/>
      <c r="D233" s="314"/>
      <c r="E233" s="315"/>
      <c r="F233" s="315"/>
      <c r="G233"/>
      <c r="H233"/>
      <c r="J233" s="73"/>
      <c r="K233" s="73"/>
      <c r="L233" s="71" t="s">
        <v>0</v>
      </c>
      <c r="W233" s="71" t="s">
        <v>0</v>
      </c>
    </row>
    <row r="234" spans="1:23" s="51" customFormat="1" ht="18.75">
      <c r="A234" s="138"/>
      <c r="B234" s="74"/>
      <c r="C234" s="297" t="s">
        <v>419</v>
      </c>
      <c r="D234" s="298"/>
      <c r="E234" s="298"/>
      <c r="F234" s="298"/>
      <c r="G234" s="298"/>
      <c r="H234" s="298"/>
      <c r="I234" s="298"/>
      <c r="J234" s="372"/>
      <c r="K234" s="299"/>
      <c r="L234" s="71" t="s">
        <v>0</v>
      </c>
      <c r="W234" s="71" t="s">
        <v>0</v>
      </c>
    </row>
    <row r="235" spans="1:23" s="51" customFormat="1" ht="4.5" customHeight="1">
      <c r="A235" s="138"/>
      <c r="B235" s="74"/>
      <c r="C235" s="313"/>
      <c r="D235" s="314"/>
      <c r="E235" s="315"/>
      <c r="F235" s="315"/>
      <c r="G235"/>
      <c r="H235"/>
      <c r="J235" s="73"/>
      <c r="K235" s="73"/>
      <c r="L235" s="71" t="s">
        <v>0</v>
      </c>
      <c r="W235" s="71" t="s">
        <v>0</v>
      </c>
    </row>
    <row r="236" spans="1:23" s="51" customFormat="1" ht="15" customHeight="1">
      <c r="A236" s="138"/>
      <c r="B236" s="74"/>
      <c r="C236" s="313"/>
      <c r="D236" s="314"/>
      <c r="E236" s="315"/>
      <c r="F236" s="315"/>
      <c r="G236"/>
      <c r="H236"/>
      <c r="J236" s="73"/>
      <c r="K236" s="73"/>
      <c r="L236" s="71" t="s">
        <v>0</v>
      </c>
      <c r="W236" s="71" t="s">
        <v>0</v>
      </c>
    </row>
    <row r="237" spans="1:23" s="51" customFormat="1" ht="4.5" customHeight="1">
      <c r="A237" s="138"/>
      <c r="B237" s="74"/>
      <c r="C237" s="313"/>
      <c r="D237" s="314"/>
      <c r="E237" s="315"/>
      <c r="F237" s="315"/>
      <c r="G237"/>
      <c r="H237"/>
      <c r="J237" s="73"/>
      <c r="K237" s="73"/>
      <c r="L237" s="71" t="s">
        <v>0</v>
      </c>
      <c r="W237" s="71" t="s">
        <v>0</v>
      </c>
    </row>
    <row r="238" spans="1:23" s="51" customFormat="1" ht="15" customHeight="1">
      <c r="A238" s="138"/>
      <c r="B238" s="74"/>
      <c r="C238" s="157" t="s">
        <v>294</v>
      </c>
      <c r="D238" s="4"/>
      <c r="E238" s="4"/>
      <c r="F238" s="4"/>
      <c r="G238" s="4"/>
      <c r="H238" s="4"/>
      <c r="I238" s="4"/>
      <c r="J238" s="373"/>
      <c r="K238" s="207"/>
      <c r="L238" s="71" t="s">
        <v>0</v>
      </c>
      <c r="W238" s="71" t="s">
        <v>0</v>
      </c>
    </row>
    <row r="239" spans="1:23" s="51" customFormat="1" ht="4.5" customHeight="1">
      <c r="A239" s="138"/>
      <c r="B239" s="74"/>
      <c r="C239" s="317"/>
      <c r="D239" s="15"/>
      <c r="E239" s="15"/>
      <c r="F239" s="15"/>
      <c r="G239" s="15"/>
      <c r="H239" s="15"/>
      <c r="I239" s="15"/>
      <c r="J239" s="208"/>
      <c r="K239" s="208"/>
      <c r="L239" s="71" t="s">
        <v>0</v>
      </c>
      <c r="W239" s="71" t="s">
        <v>0</v>
      </c>
    </row>
    <row r="240" spans="1:23" s="51" customFormat="1" ht="90">
      <c r="A240" s="138"/>
      <c r="B240" s="74"/>
      <c r="C240" s="249" t="s">
        <v>520</v>
      </c>
      <c r="D240" s="17" t="s">
        <v>496</v>
      </c>
      <c r="E240" s="144"/>
      <c r="F240" s="212"/>
      <c r="G240" s="212"/>
      <c r="L240" s="71" t="s">
        <v>0</v>
      </c>
      <c r="W240" s="71" t="s">
        <v>0</v>
      </c>
    </row>
    <row r="241" spans="1:23" s="51" customFormat="1" ht="15" customHeight="1">
      <c r="A241" s="138"/>
      <c r="B241" s="74"/>
      <c r="C241" s="248" t="s">
        <v>35</v>
      </c>
      <c r="D241" s="130" t="s">
        <v>9</v>
      </c>
      <c r="E241" s="144"/>
      <c r="F241" s="212"/>
      <c r="G241" s="212"/>
      <c r="L241" s="71" t="s">
        <v>0</v>
      </c>
      <c r="W241" s="71" t="s">
        <v>0</v>
      </c>
    </row>
    <row r="242" spans="1:23" s="51" customFormat="1" ht="15" customHeight="1">
      <c r="A242" s="138"/>
      <c r="B242" s="74"/>
      <c r="C242" s="248" t="s">
        <v>295</v>
      </c>
      <c r="D242" s="265" t="s">
        <v>9</v>
      </c>
      <c r="E242" s="144"/>
      <c r="F242" s="212"/>
      <c r="G242" s="212"/>
      <c r="L242" s="71" t="s">
        <v>0</v>
      </c>
      <c r="W242" s="71" t="s">
        <v>0</v>
      </c>
    </row>
    <row r="243" spans="1:23" s="51" customFormat="1" ht="15" customHeight="1">
      <c r="A243" s="138"/>
      <c r="B243" s="74"/>
      <c r="C243" s="248" t="s">
        <v>296</v>
      </c>
      <c r="D243" s="265" t="s">
        <v>9</v>
      </c>
      <c r="E243" s="144"/>
      <c r="F243" s="212"/>
      <c r="G243" s="212"/>
      <c r="L243" s="71" t="s">
        <v>0</v>
      </c>
      <c r="W243" s="71" t="s">
        <v>0</v>
      </c>
    </row>
    <row r="244" spans="1:23" s="51" customFormat="1" ht="15" customHeight="1">
      <c r="A244" s="138"/>
      <c r="B244" s="74"/>
      <c r="C244" s="250" t="s">
        <v>297</v>
      </c>
      <c r="D244" s="265" t="s">
        <v>9</v>
      </c>
      <c r="E244" s="144"/>
      <c r="F244" s="212"/>
      <c r="G244" s="212"/>
      <c r="L244" s="71" t="s">
        <v>0</v>
      </c>
      <c r="W244" s="71" t="s">
        <v>0</v>
      </c>
    </row>
    <row r="245" spans="1:23" s="51" customFormat="1" ht="15" customHeight="1">
      <c r="A245" s="138"/>
      <c r="B245" s="74"/>
      <c r="C245" s="248" t="s">
        <v>107</v>
      </c>
      <c r="D245" s="265" t="s">
        <v>9</v>
      </c>
      <c r="E245" s="144"/>
      <c r="F245" s="212"/>
      <c r="G245" s="212"/>
      <c r="L245" s="71" t="s">
        <v>0</v>
      </c>
      <c r="W245" s="71" t="s">
        <v>0</v>
      </c>
    </row>
    <row r="246" spans="1:23" s="51" customFormat="1" ht="15" customHeight="1">
      <c r="A246" s="138"/>
      <c r="B246" s="74"/>
      <c r="C246" s="248" t="s">
        <v>298</v>
      </c>
      <c r="D246" s="265" t="s">
        <v>9</v>
      </c>
      <c r="E246" s="144"/>
      <c r="F246" s="212"/>
      <c r="G246" s="212"/>
      <c r="L246" s="71" t="s">
        <v>0</v>
      </c>
      <c r="W246" s="71" t="s">
        <v>0</v>
      </c>
    </row>
    <row r="247" spans="1:23" s="51" customFormat="1" ht="15" customHeight="1">
      <c r="A247" s="138"/>
      <c r="B247" s="74"/>
      <c r="C247" s="248" t="s">
        <v>299</v>
      </c>
      <c r="D247" s="265" t="s">
        <v>9</v>
      </c>
      <c r="E247" s="144"/>
      <c r="F247" s="212"/>
      <c r="G247" s="212"/>
      <c r="L247" s="71" t="s">
        <v>0</v>
      </c>
      <c r="W247" s="71" t="s">
        <v>0</v>
      </c>
    </row>
    <row r="248" spans="1:23" s="51" customFormat="1" ht="15" customHeight="1">
      <c r="A248" s="138"/>
      <c r="B248" s="74"/>
      <c r="C248" s="250" t="s">
        <v>106</v>
      </c>
      <c r="D248" s="265" t="s">
        <v>9</v>
      </c>
      <c r="E248" s="144"/>
      <c r="F248" s="212"/>
      <c r="G248" s="212"/>
      <c r="L248" s="71" t="s">
        <v>0</v>
      </c>
      <c r="W248" s="71" t="s">
        <v>0</v>
      </c>
    </row>
    <row r="249" spans="1:23" s="51" customFormat="1" ht="15" customHeight="1">
      <c r="A249" s="138"/>
      <c r="B249" s="74"/>
      <c r="C249" s="250" t="s">
        <v>120</v>
      </c>
      <c r="D249" s="265" t="s">
        <v>9</v>
      </c>
      <c r="E249" s="144"/>
      <c r="F249" s="212"/>
      <c r="G249" s="212"/>
      <c r="L249" s="71" t="s">
        <v>0</v>
      </c>
      <c r="W249" s="71" t="s">
        <v>0</v>
      </c>
    </row>
    <row r="250" spans="1:23" s="51" customFormat="1" ht="15" customHeight="1">
      <c r="A250" s="138"/>
      <c r="B250" s="74"/>
      <c r="C250" s="248" t="s">
        <v>82</v>
      </c>
      <c r="D250" s="265" t="s">
        <v>9</v>
      </c>
      <c r="E250" s="144"/>
      <c r="F250" s="212"/>
      <c r="G250" s="212"/>
      <c r="L250" s="71" t="s">
        <v>0</v>
      </c>
      <c r="W250" s="71" t="s">
        <v>0</v>
      </c>
    </row>
    <row r="251" spans="1:23" s="51" customFormat="1" ht="15" customHeight="1">
      <c r="A251" s="138"/>
      <c r="B251" s="74"/>
      <c r="C251" s="251" t="s">
        <v>40</v>
      </c>
      <c r="D251" s="118" t="s">
        <v>9</v>
      </c>
      <c r="E251" s="144"/>
      <c r="F251" s="212"/>
      <c r="G251" s="212"/>
      <c r="L251" s="71" t="s">
        <v>0</v>
      </c>
      <c r="W251" s="71" t="s">
        <v>0</v>
      </c>
    </row>
    <row r="252" spans="1:23" s="51" customFormat="1" ht="4.5" customHeight="1">
      <c r="A252" s="138"/>
      <c r="B252" s="74"/>
      <c r="C252" s="229"/>
      <c r="D252" s="314"/>
      <c r="E252" s="144"/>
      <c r="F252" s="212"/>
      <c r="G252" s="212"/>
      <c r="L252" s="71" t="s">
        <v>0</v>
      </c>
      <c r="W252" s="71" t="s">
        <v>0</v>
      </c>
    </row>
    <row r="253" spans="1:23" s="51" customFormat="1" ht="60" customHeight="1">
      <c r="A253" s="138"/>
      <c r="B253" s="74"/>
      <c r="C253" s="454" t="s">
        <v>504</v>
      </c>
      <c r="D253" s="455"/>
      <c r="E253" s="456"/>
      <c r="F253" s="226" t="s">
        <v>9</v>
      </c>
      <c r="G253" s="212"/>
      <c r="L253" s="71" t="s">
        <v>0</v>
      </c>
      <c r="W253" s="71" t="s">
        <v>0</v>
      </c>
    </row>
    <row r="254" spans="1:23" s="51" customFormat="1" ht="4.5" customHeight="1">
      <c r="A254" s="138"/>
      <c r="B254" s="74"/>
      <c r="C254" s="229"/>
      <c r="D254" s="314"/>
      <c r="E254" s="144"/>
      <c r="F254" s="212"/>
      <c r="G254" s="212"/>
      <c r="L254" s="71" t="s">
        <v>0</v>
      </c>
      <c r="W254" s="71" t="s">
        <v>0</v>
      </c>
    </row>
    <row r="255" spans="1:23" s="51" customFormat="1" ht="75">
      <c r="A255" s="138"/>
      <c r="B255" s="74"/>
      <c r="C255" s="249" t="s">
        <v>561</v>
      </c>
      <c r="D255" s="13" t="s">
        <v>388</v>
      </c>
      <c r="E255" s="370" t="s">
        <v>397</v>
      </c>
      <c r="F255" s="17" t="s">
        <v>389</v>
      </c>
      <c r="G255" s="212"/>
      <c r="L255" s="71" t="s">
        <v>0</v>
      </c>
      <c r="W255" s="71" t="s">
        <v>0</v>
      </c>
    </row>
    <row r="256" spans="1:23" s="51" customFormat="1" ht="15" customHeight="1">
      <c r="A256" s="138"/>
      <c r="B256" s="74"/>
      <c r="C256" s="263" t="s">
        <v>35</v>
      </c>
      <c r="D256" s="367">
        <f>IF(SUM('Baseline_&amp;_Adverse_Scenario'!$D$49)-SUM('Baseline_&amp;_Adverse_Scenario'!$D$42)&lt;&gt;0,SUM('Baseline_&amp;_Adverse_Scenario'!D12)/(SUM('Baseline_&amp;_Adverse_Scenario'!$D$49)-SUM('Baseline_&amp;_Adverse_Scenario'!$D$42)),0)</f>
        <v>0</v>
      </c>
      <c r="E256" s="363">
        <f>IF(SUM('Baseline_&amp;_Adverse_Scenario'!$F$49)-SUM('Baseline_&amp;_Adverse_Scenario'!$F$42)&lt;&gt;0,SUM('Baseline_&amp;_Adverse_Scenario'!F12)/(SUM('Baseline_&amp;_Adverse_Scenario'!$F$49)-SUM('Baseline_&amp;_Adverse_Scenario'!$F$42)),0)</f>
        <v>0</v>
      </c>
      <c r="F256" s="435" t="s">
        <v>557</v>
      </c>
      <c r="G256" s="212"/>
      <c r="L256" s="71" t="s">
        <v>0</v>
      </c>
      <c r="W256" s="71" t="s">
        <v>0</v>
      </c>
    </row>
    <row r="257" spans="1:23" s="51" customFormat="1" ht="15" customHeight="1">
      <c r="A257" s="138"/>
      <c r="B257" s="74"/>
      <c r="C257" s="263" t="s">
        <v>295</v>
      </c>
      <c r="D257" s="368">
        <f>IF(SUM('Baseline_&amp;_Adverse_Scenario'!$D$49)-SUM('Baseline_&amp;_Adverse_Scenario'!$D$42)&lt;&gt;0,SUM('Baseline_&amp;_Adverse_Scenario'!D19)/(SUM('Baseline_&amp;_Adverse_Scenario'!$D$49)-SUM('Baseline_&amp;_Adverse_Scenario'!$D$42)),0)</f>
        <v>0</v>
      </c>
      <c r="E257" s="364">
        <f>IF(SUM('Baseline_&amp;_Adverse_Scenario'!$F$49)-SUM('Baseline_&amp;_Adverse_Scenario'!$F$42)&lt;&gt;0,SUM('Baseline_&amp;_Adverse_Scenario'!F19)/(SUM('Baseline_&amp;_Adverse_Scenario'!$F$49)-SUM('Baseline_&amp;_Adverse_Scenario'!$F$42)),0)</f>
        <v>0</v>
      </c>
      <c r="F257" s="435" t="s">
        <v>557</v>
      </c>
      <c r="G257" s="212"/>
      <c r="L257" s="71" t="s">
        <v>0</v>
      </c>
      <c r="W257" s="71" t="s">
        <v>0</v>
      </c>
    </row>
    <row r="258" spans="1:23" s="51" customFormat="1" ht="15" customHeight="1">
      <c r="A258" s="138"/>
      <c r="B258" s="74"/>
      <c r="C258" s="263" t="s">
        <v>296</v>
      </c>
      <c r="D258" s="368">
        <f>IF(SUM('Baseline_&amp;_Adverse_Scenario'!$D$49)-SUM('Baseline_&amp;_Adverse_Scenario'!$D$42)&lt;&gt;0,SUM('Baseline_&amp;_Adverse_Scenario'!D24)/(SUM('Baseline_&amp;_Adverse_Scenario'!$D$49)-SUM('Baseline_&amp;_Adverse_Scenario'!$D$42)),0)</f>
        <v>0</v>
      </c>
      <c r="E258" s="364">
        <f>IF(SUM('Baseline_&amp;_Adverse_Scenario'!$F$49)-SUM('Baseline_&amp;_Adverse_Scenario'!$F$42)&lt;&gt;0,SUM('Baseline_&amp;_Adverse_Scenario'!F24)/(SUM('Baseline_&amp;_Adverse_Scenario'!$F$49)-SUM('Baseline_&amp;_Adverse_Scenario'!$F$42)),0)</f>
        <v>0</v>
      </c>
      <c r="F258" s="435" t="s">
        <v>557</v>
      </c>
      <c r="G258" s="212"/>
      <c r="L258" s="71" t="s">
        <v>0</v>
      </c>
      <c r="W258" s="71" t="s">
        <v>0</v>
      </c>
    </row>
    <row r="259" spans="1:23" s="51" customFormat="1" ht="15" customHeight="1">
      <c r="A259" s="138"/>
      <c r="B259" s="74"/>
      <c r="C259" s="259" t="s">
        <v>297</v>
      </c>
      <c r="D259" s="368">
        <f>IF(SUM('Baseline_&amp;_Adverse_Scenario'!$D$49)-SUM('Baseline_&amp;_Adverse_Scenario'!$D$42)&lt;&gt;0,SUM('Baseline_&amp;_Adverse_Scenario'!D29)/(SUM('Baseline_&amp;_Adverse_Scenario'!$D$49)-SUM('Baseline_&amp;_Adverse_Scenario'!$D$42)),0)</f>
        <v>0</v>
      </c>
      <c r="E259" s="364">
        <f>IF(SUM('Baseline_&amp;_Adverse_Scenario'!$F$49)-SUM('Baseline_&amp;_Adverse_Scenario'!$F$42)&lt;&gt;0,SUM('Baseline_&amp;_Adverse_Scenario'!F29)/(SUM('Baseline_&amp;_Adverse_Scenario'!$F$49)-SUM('Baseline_&amp;_Adverse_Scenario'!$F$42)),0)</f>
        <v>0</v>
      </c>
      <c r="F259" s="435" t="s">
        <v>557</v>
      </c>
      <c r="G259" s="212"/>
      <c r="L259" s="71" t="s">
        <v>0</v>
      </c>
      <c r="W259" s="71" t="s">
        <v>0</v>
      </c>
    </row>
    <row r="260" spans="1:23" s="51" customFormat="1" ht="15" customHeight="1">
      <c r="A260" s="138"/>
      <c r="B260" s="74"/>
      <c r="C260" s="263" t="s">
        <v>107</v>
      </c>
      <c r="D260" s="368">
        <f>IF(SUM('Baseline_&amp;_Adverse_Scenario'!$D$49)-SUM('Baseline_&amp;_Adverse_Scenario'!$D$42)&lt;&gt;0,SUM('Baseline_&amp;_Adverse_Scenario'!D32)/(SUM('Baseline_&amp;_Adverse_Scenario'!$D$49)-SUM('Baseline_&amp;_Adverse_Scenario'!$D$42)),0)</f>
        <v>0</v>
      </c>
      <c r="E260" s="364">
        <f>IF(SUM('Baseline_&amp;_Adverse_Scenario'!$F$49)-SUM('Baseline_&amp;_Adverse_Scenario'!$F$42)&lt;&gt;0,SUM('Baseline_&amp;_Adverse_Scenario'!F32)/(SUM('Baseline_&amp;_Adverse_Scenario'!$F$49)-SUM('Baseline_&amp;_Adverse_Scenario'!$F$42)),0)</f>
        <v>0</v>
      </c>
      <c r="F260" s="435" t="s">
        <v>557</v>
      </c>
      <c r="G260" s="212"/>
      <c r="L260" s="71" t="s">
        <v>0</v>
      </c>
      <c r="W260" s="71" t="s">
        <v>0</v>
      </c>
    </row>
    <row r="261" spans="1:23" s="51" customFormat="1" ht="15" customHeight="1">
      <c r="A261" s="138"/>
      <c r="B261" s="74"/>
      <c r="C261" s="263" t="s">
        <v>298</v>
      </c>
      <c r="D261" s="368">
        <f>IF(SUM('Baseline_&amp;_Adverse_Scenario'!$D$49)-SUM('Baseline_&amp;_Adverse_Scenario'!$D$42)&lt;&gt;0,SUM('Baseline_&amp;_Adverse_Scenario'!D37)/(SUM('Baseline_&amp;_Adverse_Scenario'!$D$49)-SUM('Baseline_&amp;_Adverse_Scenario'!$D$42)),0)</f>
        <v>0</v>
      </c>
      <c r="E261" s="364">
        <f>IF(SUM('Baseline_&amp;_Adverse_Scenario'!$F$49)-SUM('Baseline_&amp;_Adverse_Scenario'!$F$42)&lt;&gt;0,SUM('Baseline_&amp;_Adverse_Scenario'!F37)/(SUM('Baseline_&amp;_Adverse_Scenario'!$F$49)-SUM('Baseline_&amp;_Adverse_Scenario'!$F$42)),0)</f>
        <v>0</v>
      </c>
      <c r="F261" s="435" t="s">
        <v>557</v>
      </c>
      <c r="G261" s="212"/>
      <c r="L261" s="71" t="s">
        <v>0</v>
      </c>
      <c r="W261" s="71" t="s">
        <v>0</v>
      </c>
    </row>
    <row r="262" spans="1:23" s="51" customFormat="1" ht="15" customHeight="1">
      <c r="A262" s="138"/>
      <c r="B262" s="74"/>
      <c r="C262" s="263" t="s">
        <v>299</v>
      </c>
      <c r="D262" s="368">
        <f>IF(SUM('Baseline_&amp;_Adverse_Scenario'!$D$49)-SUM('Baseline_&amp;_Adverse_Scenario'!$D$42)&lt;&gt;0,SUM('Baseline_&amp;_Adverse_Scenario'!D38)/(SUM('Baseline_&amp;_Adverse_Scenario'!$D$49)-SUM('Baseline_&amp;_Adverse_Scenario'!$D$42)),0)</f>
        <v>0</v>
      </c>
      <c r="E262" s="364">
        <f>IF(SUM('Baseline_&amp;_Adverse_Scenario'!$F$49)-SUM('Baseline_&amp;_Adverse_Scenario'!$F$42)&lt;&gt;0,SUM('Baseline_&amp;_Adverse_Scenario'!F38)/(SUM('Baseline_&amp;_Adverse_Scenario'!$F$49)-SUM('Baseline_&amp;_Adverse_Scenario'!$F$42)),0)</f>
        <v>0</v>
      </c>
      <c r="F262" s="435" t="s">
        <v>557</v>
      </c>
      <c r="G262" s="212"/>
      <c r="L262" s="71" t="s">
        <v>0</v>
      </c>
      <c r="W262" s="71" t="s">
        <v>0</v>
      </c>
    </row>
    <row r="263" spans="1:23" s="51" customFormat="1" ht="15" customHeight="1">
      <c r="A263" s="138"/>
      <c r="B263" s="74"/>
      <c r="C263" s="259" t="s">
        <v>106</v>
      </c>
      <c r="D263" s="368">
        <f>IF(SUM('Baseline_&amp;_Adverse_Scenario'!$D$49)-SUM('Baseline_&amp;_Adverse_Scenario'!$D$42)&lt;&gt;0,SUM('Baseline_&amp;_Adverse_Scenario'!D39)/(SUM('Baseline_&amp;_Adverse_Scenario'!$D$49)-SUM('Baseline_&amp;_Adverse_Scenario'!$D$42)),0)</f>
        <v>0</v>
      </c>
      <c r="E263" s="364">
        <f>IF(SUM('Baseline_&amp;_Adverse_Scenario'!$F$49)-SUM('Baseline_&amp;_Adverse_Scenario'!$F$42)&lt;&gt;0,SUM('Baseline_&amp;_Adverse_Scenario'!F39)/(SUM('Baseline_&amp;_Adverse_Scenario'!$F$49)-SUM('Baseline_&amp;_Adverse_Scenario'!$F$42)),0)</f>
        <v>0</v>
      </c>
      <c r="F263" s="435" t="s">
        <v>557</v>
      </c>
      <c r="G263" s="212"/>
      <c r="L263" s="71" t="s">
        <v>0</v>
      </c>
      <c r="W263" s="71" t="s">
        <v>0</v>
      </c>
    </row>
    <row r="264" spans="1:23" s="51" customFormat="1" ht="15" customHeight="1">
      <c r="A264" s="138"/>
      <c r="B264" s="74"/>
      <c r="C264" s="259" t="s">
        <v>120</v>
      </c>
      <c r="D264" s="368">
        <f>IF(SUM('Baseline_&amp;_Adverse_Scenario'!$D$49)-SUM('Baseline_&amp;_Adverse_Scenario'!$D$42)&lt;&gt;0,SUM('Baseline_&amp;_Adverse_Scenario'!D43)/(SUM('Baseline_&amp;_Adverse_Scenario'!$D$49)-SUM('Baseline_&amp;_Adverse_Scenario'!$D$42)),0)</f>
        <v>0</v>
      </c>
      <c r="E264" s="364">
        <f>IF(SUM('Baseline_&amp;_Adverse_Scenario'!$F$49)-SUM('Baseline_&amp;_Adverse_Scenario'!$F$42)&lt;&gt;0,SUM('Baseline_&amp;_Adverse_Scenario'!F43)/(SUM('Baseline_&amp;_Adverse_Scenario'!$F$49)-SUM('Baseline_&amp;_Adverse_Scenario'!$F$42)),0)</f>
        <v>0</v>
      </c>
      <c r="F264" s="435" t="s">
        <v>557</v>
      </c>
      <c r="G264" s="212"/>
      <c r="L264" s="71" t="s">
        <v>0</v>
      </c>
      <c r="W264" s="71" t="s">
        <v>0</v>
      </c>
    </row>
    <row r="265" spans="1:23" s="51" customFormat="1" ht="15" customHeight="1">
      <c r="A265" s="138"/>
      <c r="B265" s="74"/>
      <c r="C265" s="263" t="s">
        <v>82</v>
      </c>
      <c r="D265" s="368">
        <f>IF(SUM('Baseline_&amp;_Adverse_Scenario'!$D$49)-SUM('Baseline_&amp;_Adverse_Scenario'!$D$42)&lt;&gt;0,SUM('Baseline_&amp;_Adverse_Scenario'!D44)/(SUM('Baseline_&amp;_Adverse_Scenario'!$D$49)-SUM('Baseline_&amp;_Adverse_Scenario'!$D$42)),0)</f>
        <v>0</v>
      </c>
      <c r="E265" s="364">
        <f>IF(SUM('Baseline_&amp;_Adverse_Scenario'!$F$49)-SUM('Baseline_&amp;_Adverse_Scenario'!$F$42)&lt;&gt;0,SUM('Baseline_&amp;_Adverse_Scenario'!F44)/(SUM('Baseline_&amp;_Adverse_Scenario'!$F$49)-SUM('Baseline_&amp;_Adverse_Scenario'!$F$42)),0)</f>
        <v>0</v>
      </c>
      <c r="F265" s="435" t="s">
        <v>557</v>
      </c>
      <c r="G265" s="212"/>
      <c r="L265" s="71" t="s">
        <v>0</v>
      </c>
      <c r="W265" s="71" t="s">
        <v>0</v>
      </c>
    </row>
    <row r="266" spans="1:23" s="51" customFormat="1" ht="15" customHeight="1">
      <c r="A266" s="138"/>
      <c r="B266" s="74"/>
      <c r="C266" s="329" t="s">
        <v>40</v>
      </c>
      <c r="D266" s="369">
        <f>IF(SUM('Baseline_&amp;_Adverse_Scenario'!$D$49)-SUM('Baseline_&amp;_Adverse_Scenario'!$D$42)&lt;&gt;0,SUM('Baseline_&amp;_Adverse_Scenario'!D45)/(SUM('Baseline_&amp;_Adverse_Scenario'!$D$49)-SUM('Baseline_&amp;_Adverse_Scenario'!$D$42)),0)</f>
        <v>0</v>
      </c>
      <c r="E266" s="362">
        <f>IF(SUM('Baseline_&amp;_Adverse_Scenario'!$F$49)-SUM('Baseline_&amp;_Adverse_Scenario'!$F$42)&lt;&gt;0,SUM('Baseline_&amp;_Adverse_Scenario'!F45)/(SUM('Baseline_&amp;_Adverse_Scenario'!$F$49)-SUM('Baseline_&amp;_Adverse_Scenario'!$F$42)),0)</f>
        <v>0</v>
      </c>
      <c r="F266" s="435" t="s">
        <v>557</v>
      </c>
      <c r="G266" s="212"/>
      <c r="L266" s="71" t="s">
        <v>0</v>
      </c>
      <c r="W266" s="71" t="s">
        <v>0</v>
      </c>
    </row>
    <row r="267" spans="1:23" s="51" customFormat="1" ht="15" customHeight="1">
      <c r="A267" s="138"/>
      <c r="B267" s="74"/>
      <c r="C267" s="252" t="s">
        <v>521</v>
      </c>
      <c r="D267" s="362">
        <f>IF(SUM('Baseline_&amp;_Adverse_Scenario'!$D$49)-SUM('Baseline_&amp;_Adverse_Scenario'!$D$42)&lt;&gt;0,(SUM('Baseline_&amp;_Adverse_Scenario'!D49)-SUM('Baseline_&amp;_Adverse_Scenario'!D42))/(SUM('Baseline_&amp;_Adverse_Scenario'!$D$49)-SUM('Baseline_&amp;_Adverse_Scenario'!$D$42)),0)</f>
        <v>0</v>
      </c>
      <c r="E267" s="362">
        <f>IF(SUM('Baseline_&amp;_Adverse_Scenario'!$F$49)-SUM('Baseline_&amp;_Adverse_Scenario'!$F$42)&lt;&gt;0,(SUM('Baseline_&amp;_Adverse_Scenario'!F49)-SUM('Baseline_&amp;_Adverse_Scenario'!F42))/(SUM('Baseline_&amp;_Adverse_Scenario'!$F$49)-SUM('Baseline_&amp;_Adverse_Scenario'!$F$42)),0)</f>
        <v>0</v>
      </c>
      <c r="F267" s="253">
        <f>SUM(F256:F266)</f>
        <v>0</v>
      </c>
      <c r="G267" s="212"/>
      <c r="L267" s="71" t="s">
        <v>0</v>
      </c>
      <c r="W267" s="71" t="s">
        <v>0</v>
      </c>
    </row>
    <row r="268" spans="1:23" s="51" customFormat="1" ht="4.5" customHeight="1">
      <c r="A268" s="138"/>
      <c r="B268" s="74"/>
      <c r="C268" s="144"/>
      <c r="D268" s="212"/>
      <c r="E268" s="144"/>
      <c r="F268" s="212"/>
      <c r="G268" s="212"/>
      <c r="L268" s="71" t="s">
        <v>0</v>
      </c>
      <c r="W268" s="71" t="s">
        <v>0</v>
      </c>
    </row>
    <row r="269" spans="1:23" s="51" customFormat="1" ht="15" customHeight="1">
      <c r="A269" s="138"/>
      <c r="B269" s="74"/>
      <c r="C269" s="144"/>
      <c r="D269" s="212"/>
      <c r="E269" s="144"/>
      <c r="F269" s="212"/>
      <c r="G269" s="212"/>
      <c r="L269" s="71" t="s">
        <v>0</v>
      </c>
      <c r="W269" s="71" t="s">
        <v>0</v>
      </c>
    </row>
    <row r="270" spans="1:23" s="51" customFormat="1" ht="4.5" customHeight="1">
      <c r="A270" s="138"/>
      <c r="B270" s="74"/>
      <c r="C270" s="144"/>
      <c r="D270" s="212"/>
      <c r="E270" s="144"/>
      <c r="F270" s="212"/>
      <c r="G270" s="212"/>
      <c r="L270" s="71" t="s">
        <v>0</v>
      </c>
      <c r="W270" s="71" t="s">
        <v>0</v>
      </c>
    </row>
    <row r="271" spans="1:23" s="51" customFormat="1" ht="15" customHeight="1">
      <c r="A271" s="138"/>
      <c r="B271" s="74"/>
      <c r="C271" s="157" t="s">
        <v>302</v>
      </c>
      <c r="D271" s="4"/>
      <c r="E271" s="4"/>
      <c r="F271" s="4"/>
      <c r="G271" s="4"/>
      <c r="H271" s="4"/>
      <c r="I271" s="4"/>
      <c r="J271" s="373"/>
      <c r="K271" s="207"/>
      <c r="L271" s="71" t="s">
        <v>0</v>
      </c>
      <c r="W271" s="71" t="s">
        <v>0</v>
      </c>
    </row>
    <row r="272" spans="1:23" s="51" customFormat="1" ht="4.5" customHeight="1">
      <c r="A272" s="138"/>
      <c r="B272" s="74"/>
      <c r="C272" s="15"/>
      <c r="D272" s="15"/>
      <c r="E272" s="15"/>
      <c r="F272" s="208"/>
      <c r="G272" s="208"/>
      <c r="L272" s="71" t="s">
        <v>0</v>
      </c>
      <c r="W272" s="71" t="s">
        <v>0</v>
      </c>
    </row>
    <row r="273" spans="1:23" s="51" customFormat="1" ht="43.5" customHeight="1">
      <c r="A273" s="138"/>
      <c r="B273" s="74"/>
      <c r="C273" s="454" t="s">
        <v>505</v>
      </c>
      <c r="D273" s="455"/>
      <c r="E273" s="456"/>
      <c r="F273" s="226" t="s">
        <v>9</v>
      </c>
      <c r="G273" s="208"/>
      <c r="L273" s="71" t="s">
        <v>0</v>
      </c>
      <c r="W273" s="71" t="s">
        <v>0</v>
      </c>
    </row>
    <row r="274" spans="1:23" s="51" customFormat="1" ht="4.5" customHeight="1">
      <c r="A274" s="138"/>
      <c r="B274" s="74"/>
      <c r="C274" s="15"/>
      <c r="D274" s="15"/>
      <c r="E274" s="15"/>
      <c r="F274" s="208"/>
      <c r="G274" s="208"/>
      <c r="L274" s="71" t="s">
        <v>0</v>
      </c>
      <c r="W274" s="71" t="s">
        <v>0</v>
      </c>
    </row>
    <row r="275" spans="1:23" s="51" customFormat="1" ht="105">
      <c r="A275" s="138"/>
      <c r="B275" s="74"/>
      <c r="C275" s="249" t="s">
        <v>522</v>
      </c>
      <c r="D275" s="17" t="s">
        <v>496</v>
      </c>
      <c r="E275" s="144"/>
      <c r="F275" s="212"/>
      <c r="G275" s="212"/>
      <c r="L275" s="71" t="s">
        <v>0</v>
      </c>
      <c r="W275" s="71" t="s">
        <v>0</v>
      </c>
    </row>
    <row r="276" spans="1:23" s="51" customFormat="1" ht="15" customHeight="1">
      <c r="A276" s="138"/>
      <c r="B276" s="74"/>
      <c r="C276" s="248" t="s">
        <v>35</v>
      </c>
      <c r="D276" s="265" t="s">
        <v>9</v>
      </c>
      <c r="E276" s="144"/>
      <c r="F276" s="212"/>
      <c r="G276" s="212"/>
      <c r="L276" s="71" t="s">
        <v>0</v>
      </c>
      <c r="W276" s="71" t="s">
        <v>0</v>
      </c>
    </row>
    <row r="277" spans="1:23" s="51" customFormat="1" ht="15" customHeight="1">
      <c r="A277" s="138"/>
      <c r="B277" s="74"/>
      <c r="C277" s="248" t="s">
        <v>295</v>
      </c>
      <c r="D277" s="265" t="s">
        <v>9</v>
      </c>
      <c r="E277" s="144"/>
      <c r="F277" s="212"/>
      <c r="G277" s="212"/>
      <c r="L277" s="71" t="s">
        <v>0</v>
      </c>
      <c r="W277" s="71" t="s">
        <v>0</v>
      </c>
    </row>
    <row r="278" spans="1:23" s="51" customFormat="1" ht="15" customHeight="1">
      <c r="A278" s="138"/>
      <c r="B278" s="74"/>
      <c r="C278" s="248" t="s">
        <v>296</v>
      </c>
      <c r="D278" s="265" t="s">
        <v>9</v>
      </c>
      <c r="E278" s="144"/>
      <c r="F278" s="212"/>
      <c r="G278" s="212"/>
      <c r="L278" s="71" t="s">
        <v>0</v>
      </c>
      <c r="W278" s="71" t="s">
        <v>0</v>
      </c>
    </row>
    <row r="279" spans="1:23" s="51" customFormat="1" ht="15" customHeight="1">
      <c r="A279" s="138"/>
      <c r="B279" s="74"/>
      <c r="C279" s="250" t="s">
        <v>297</v>
      </c>
      <c r="D279" s="265" t="s">
        <v>9</v>
      </c>
      <c r="E279" s="144"/>
      <c r="F279" s="212"/>
      <c r="G279" s="212"/>
      <c r="L279" s="71" t="s">
        <v>0</v>
      </c>
      <c r="W279" s="71" t="s">
        <v>0</v>
      </c>
    </row>
    <row r="280" spans="1:23" s="51" customFormat="1" ht="15" customHeight="1">
      <c r="A280" s="138"/>
      <c r="B280" s="74"/>
      <c r="C280" s="248" t="s">
        <v>107</v>
      </c>
      <c r="D280" s="265" t="s">
        <v>9</v>
      </c>
      <c r="E280" s="144"/>
      <c r="F280" s="212"/>
      <c r="G280" s="212"/>
      <c r="L280" s="71" t="s">
        <v>0</v>
      </c>
      <c r="W280" s="71" t="s">
        <v>0</v>
      </c>
    </row>
    <row r="281" spans="1:23" s="51" customFormat="1" ht="15" customHeight="1">
      <c r="A281" s="138"/>
      <c r="B281" s="74"/>
      <c r="C281" s="248" t="s">
        <v>298</v>
      </c>
      <c r="D281" s="265" t="s">
        <v>9</v>
      </c>
      <c r="E281" s="144"/>
      <c r="F281" s="212"/>
      <c r="G281" s="212"/>
      <c r="L281" s="71" t="s">
        <v>0</v>
      </c>
      <c r="W281" s="71" t="s">
        <v>0</v>
      </c>
    </row>
    <row r="282" spans="1:23" s="51" customFormat="1" ht="15" customHeight="1">
      <c r="A282" s="138"/>
      <c r="B282" s="74"/>
      <c r="C282" s="248" t="s">
        <v>299</v>
      </c>
      <c r="D282" s="265" t="s">
        <v>9</v>
      </c>
      <c r="E282" s="144"/>
      <c r="F282" s="212"/>
      <c r="G282" s="212"/>
      <c r="L282" s="71" t="s">
        <v>0</v>
      </c>
      <c r="W282" s="71" t="s">
        <v>0</v>
      </c>
    </row>
    <row r="283" spans="1:23" s="51" customFormat="1" ht="15" customHeight="1">
      <c r="A283" s="138"/>
      <c r="B283" s="74"/>
      <c r="C283" s="250" t="s">
        <v>106</v>
      </c>
      <c r="D283" s="265" t="s">
        <v>9</v>
      </c>
      <c r="E283" s="144"/>
      <c r="F283" s="212"/>
      <c r="G283" s="212"/>
      <c r="L283" s="71" t="s">
        <v>0</v>
      </c>
      <c r="W283" s="71" t="s">
        <v>0</v>
      </c>
    </row>
    <row r="284" spans="1:23" s="51" customFormat="1" ht="15" customHeight="1">
      <c r="A284" s="138"/>
      <c r="B284" s="74"/>
      <c r="C284" s="250" t="s">
        <v>120</v>
      </c>
      <c r="D284" s="265" t="s">
        <v>9</v>
      </c>
      <c r="E284" s="144"/>
      <c r="F284" s="212"/>
      <c r="G284" s="212"/>
      <c r="L284" s="71" t="s">
        <v>0</v>
      </c>
      <c r="W284" s="71" t="s">
        <v>0</v>
      </c>
    </row>
    <row r="285" spans="1:23" s="51" customFormat="1" ht="15" customHeight="1">
      <c r="A285" s="138"/>
      <c r="B285" s="74"/>
      <c r="C285" s="248" t="s">
        <v>82</v>
      </c>
      <c r="D285" s="265" t="s">
        <v>9</v>
      </c>
      <c r="E285" s="144"/>
      <c r="F285" s="212"/>
      <c r="G285" s="212"/>
      <c r="L285" s="71" t="s">
        <v>0</v>
      </c>
      <c r="W285" s="71" t="s">
        <v>0</v>
      </c>
    </row>
    <row r="286" spans="1:23" s="51" customFormat="1" ht="15" customHeight="1">
      <c r="A286" s="138"/>
      <c r="B286" s="74"/>
      <c r="C286" s="251" t="s">
        <v>40</v>
      </c>
      <c r="D286" s="118" t="s">
        <v>9</v>
      </c>
      <c r="E286" s="144"/>
      <c r="F286" s="212"/>
      <c r="G286" s="212"/>
      <c r="L286" s="71" t="s">
        <v>0</v>
      </c>
      <c r="W286" s="71" t="s">
        <v>0</v>
      </c>
    </row>
    <row r="287" spans="1:23" s="51" customFormat="1" ht="4.5" customHeight="1">
      <c r="A287" s="138"/>
      <c r="B287" s="74"/>
      <c r="C287" s="144"/>
      <c r="D287" s="212"/>
      <c r="E287" s="144"/>
      <c r="F287" s="212"/>
      <c r="G287" s="212"/>
      <c r="L287" s="71" t="s">
        <v>0</v>
      </c>
      <c r="W287" s="71" t="s">
        <v>0</v>
      </c>
    </row>
    <row r="288" spans="1:23" s="51" customFormat="1" ht="45" customHeight="1">
      <c r="A288" s="138"/>
      <c r="B288" s="74"/>
      <c r="C288" s="454" t="s">
        <v>506</v>
      </c>
      <c r="D288" s="455"/>
      <c r="E288" s="456"/>
      <c r="F288" s="226" t="s">
        <v>9</v>
      </c>
      <c r="G288" s="212"/>
      <c r="L288" s="71" t="s">
        <v>0</v>
      </c>
      <c r="W288" s="71" t="s">
        <v>0</v>
      </c>
    </row>
    <row r="289" spans="1:23" s="51" customFormat="1" ht="4.5" customHeight="1">
      <c r="A289" s="138"/>
      <c r="B289" s="74"/>
      <c r="C289" s="144"/>
      <c r="D289" s="212"/>
      <c r="E289" s="144"/>
      <c r="F289" s="212"/>
      <c r="G289" s="212"/>
      <c r="L289" s="71" t="s">
        <v>0</v>
      </c>
      <c r="W289" s="71" t="s">
        <v>0</v>
      </c>
    </row>
    <row r="290" spans="1:23" s="51" customFormat="1" ht="4.5" customHeight="1">
      <c r="A290" s="138"/>
      <c r="B290" s="74"/>
      <c r="C290" s="144"/>
      <c r="D290" s="212"/>
      <c r="E290" s="144"/>
      <c r="F290" s="212"/>
      <c r="G290" s="212"/>
      <c r="L290" s="71" t="s">
        <v>0</v>
      </c>
      <c r="W290" s="71" t="s">
        <v>0</v>
      </c>
    </row>
    <row r="291" spans="1:23" s="51" customFormat="1" ht="60" customHeight="1">
      <c r="A291" s="138"/>
      <c r="B291" s="74"/>
      <c r="C291" s="454" t="s">
        <v>507</v>
      </c>
      <c r="D291" s="455"/>
      <c r="E291" s="456"/>
      <c r="F291" s="226" t="s">
        <v>9</v>
      </c>
      <c r="G291" s="212"/>
      <c r="L291" s="71" t="s">
        <v>0</v>
      </c>
      <c r="W291" s="71" t="s">
        <v>0</v>
      </c>
    </row>
    <row r="292" spans="1:23" s="51" customFormat="1" ht="4.5" customHeight="1">
      <c r="A292" s="138"/>
      <c r="B292" s="74"/>
      <c r="C292" s="144"/>
      <c r="D292" s="212"/>
      <c r="E292" s="144"/>
      <c r="F292" s="212"/>
      <c r="G292" s="212"/>
      <c r="L292" s="71" t="s">
        <v>0</v>
      </c>
      <c r="W292" s="71" t="s">
        <v>0</v>
      </c>
    </row>
    <row r="293" spans="1:23" s="51" customFormat="1" ht="15" customHeight="1">
      <c r="A293" s="138"/>
      <c r="B293" s="74"/>
      <c r="C293" s="144"/>
      <c r="D293" s="212"/>
      <c r="E293" s="144"/>
      <c r="F293" s="212"/>
      <c r="G293" s="212"/>
      <c r="L293" s="71" t="s">
        <v>0</v>
      </c>
      <c r="W293" s="71" t="s">
        <v>0</v>
      </c>
    </row>
    <row r="294" spans="1:23" s="51" customFormat="1" ht="4.5" customHeight="1">
      <c r="A294" s="138"/>
      <c r="B294" s="74"/>
      <c r="C294" s="144"/>
      <c r="D294" s="212"/>
      <c r="E294" s="144"/>
      <c r="F294" s="212"/>
      <c r="G294" s="212"/>
      <c r="L294" s="71" t="s">
        <v>0</v>
      </c>
      <c r="W294" s="71" t="s">
        <v>0</v>
      </c>
    </row>
    <row r="295" spans="1:23" s="51" customFormat="1" ht="15" customHeight="1">
      <c r="A295" s="138"/>
      <c r="B295" s="74"/>
      <c r="C295" s="157" t="s">
        <v>303</v>
      </c>
      <c r="D295" s="4"/>
      <c r="E295" s="4"/>
      <c r="F295" s="4"/>
      <c r="G295" s="4"/>
      <c r="H295" s="4"/>
      <c r="I295" s="4"/>
      <c r="J295" s="373"/>
      <c r="K295" s="207"/>
      <c r="L295" s="71" t="s">
        <v>0</v>
      </c>
      <c r="W295" s="71" t="s">
        <v>0</v>
      </c>
    </row>
    <row r="296" spans="1:23" s="51" customFormat="1" ht="4.5" customHeight="1">
      <c r="A296" s="138"/>
      <c r="B296" s="74"/>
      <c r="C296" s="144"/>
      <c r="D296" s="212"/>
      <c r="E296" s="144"/>
      <c r="F296" s="212"/>
      <c r="G296" s="212"/>
      <c r="L296" s="71" t="s">
        <v>0</v>
      </c>
      <c r="W296" s="71" t="s">
        <v>0</v>
      </c>
    </row>
    <row r="297" spans="1:23" s="51" customFormat="1" ht="44.25" customHeight="1">
      <c r="A297" s="138"/>
      <c r="B297" s="74"/>
      <c r="C297" s="454" t="s">
        <v>508</v>
      </c>
      <c r="D297" s="455"/>
      <c r="E297" s="456"/>
      <c r="F297" s="226" t="s">
        <v>9</v>
      </c>
      <c r="G297" s="212"/>
      <c r="L297" s="71" t="s">
        <v>0</v>
      </c>
      <c r="W297" s="71" t="s">
        <v>0</v>
      </c>
    </row>
    <row r="298" spans="1:23" s="51" customFormat="1" ht="4.5" customHeight="1">
      <c r="A298" s="138"/>
      <c r="B298" s="74"/>
      <c r="C298" s="144"/>
      <c r="D298" s="212"/>
      <c r="E298" s="144"/>
      <c r="F298" s="212"/>
      <c r="G298" s="212"/>
      <c r="L298" s="71" t="s">
        <v>0</v>
      </c>
      <c r="W298" s="71" t="s">
        <v>0</v>
      </c>
    </row>
    <row r="299" spans="1:23" s="51" customFormat="1" ht="30" customHeight="1">
      <c r="A299" s="138"/>
      <c r="B299" s="74"/>
      <c r="C299" s="454" t="s">
        <v>509</v>
      </c>
      <c r="D299" s="455"/>
      <c r="E299" s="456"/>
      <c r="F299" s="226" t="s">
        <v>9</v>
      </c>
      <c r="G299" s="212"/>
      <c r="L299" s="71" t="s">
        <v>0</v>
      </c>
      <c r="W299" s="71" t="s">
        <v>0</v>
      </c>
    </row>
    <row r="300" spans="1:23" s="51" customFormat="1" ht="3.75" customHeight="1">
      <c r="A300" s="138"/>
      <c r="B300" s="74"/>
      <c r="C300" s="144"/>
      <c r="D300" s="212"/>
      <c r="E300" s="144"/>
      <c r="F300" s="212"/>
      <c r="G300" s="212"/>
      <c r="L300" s="71" t="s">
        <v>0</v>
      </c>
      <c r="W300" s="71" t="s">
        <v>0</v>
      </c>
    </row>
    <row r="301" spans="1:23" s="51" customFormat="1" ht="30" customHeight="1">
      <c r="A301" s="138"/>
      <c r="B301" s="74"/>
      <c r="C301" s="454" t="s">
        <v>510</v>
      </c>
      <c r="D301" s="455"/>
      <c r="E301" s="456"/>
      <c r="F301" s="226" t="s">
        <v>9</v>
      </c>
      <c r="G301" s="212"/>
      <c r="L301" s="71" t="s">
        <v>0</v>
      </c>
      <c r="W301" s="71" t="s">
        <v>0</v>
      </c>
    </row>
    <row r="302" spans="1:23" s="51" customFormat="1" ht="4.5" customHeight="1">
      <c r="A302" s="138"/>
      <c r="B302" s="74"/>
      <c r="C302" s="144"/>
      <c r="D302" s="212"/>
      <c r="E302" s="144"/>
      <c r="F302" s="212"/>
      <c r="G302" s="212"/>
      <c r="L302" s="71" t="s">
        <v>0</v>
      </c>
      <c r="W302" s="71" t="s">
        <v>0</v>
      </c>
    </row>
    <row r="303" spans="1:23" s="51" customFormat="1" ht="30">
      <c r="A303" s="138"/>
      <c r="B303" s="74"/>
      <c r="C303" s="249" t="str">
        <f>"47. Please fill in the amounts for your IORP's past asset allocation in the template below (in "&amp;Participant!D14&amp;" of "&amp;Participant!D13&amp;"):"</f>
        <v>47. Please fill in the amounts for your IORP's past asset allocation in the template below (in - of -):</v>
      </c>
      <c r="D303" s="3">
        <v>2007</v>
      </c>
      <c r="E303" s="3" t="s">
        <v>497</v>
      </c>
      <c r="F303" s="3">
        <v>2008</v>
      </c>
      <c r="G303" s="3" t="s">
        <v>497</v>
      </c>
      <c r="H303" s="3">
        <v>2012</v>
      </c>
      <c r="I303" s="3" t="s">
        <v>497</v>
      </c>
      <c r="J303" s="3">
        <v>2016</v>
      </c>
      <c r="K303" s="13" t="s">
        <v>497</v>
      </c>
      <c r="L303" s="71" t="s">
        <v>0</v>
      </c>
      <c r="W303" s="71" t="s">
        <v>0</v>
      </c>
    </row>
    <row r="304" spans="1:23" s="51" customFormat="1" ht="15" customHeight="1">
      <c r="A304" s="138"/>
      <c r="B304" s="74"/>
      <c r="C304" s="263" t="s">
        <v>35</v>
      </c>
      <c r="D304" s="418" t="s">
        <v>9</v>
      </c>
      <c r="E304" s="363">
        <f aca="true" t="shared" si="0" ref="E304:E318">IF(SUM(D$318)&lt;&gt;0,SUM(D304)/SUM(D$318),0)</f>
        <v>0</v>
      </c>
      <c r="F304" s="418" t="s">
        <v>9</v>
      </c>
      <c r="G304" s="363">
        <f aca="true" t="shared" si="1" ref="G304:G318">IF(SUM(F$318)&lt;&gt;0,SUM(F304)/SUM(F$318),0)</f>
        <v>0</v>
      </c>
      <c r="H304" s="418" t="s">
        <v>9</v>
      </c>
      <c r="I304" s="363">
        <f aca="true" t="shared" si="2" ref="I304:K317">IF(SUM(H$318)&lt;&gt;0,SUM(H304)/SUM(H$318),0)</f>
        <v>0</v>
      </c>
      <c r="J304" s="374">
        <f>SUM('Baseline_&amp;_Adverse_Scenario'!D12)</f>
        <v>0</v>
      </c>
      <c r="K304" s="363">
        <f t="shared" si="2"/>
        <v>0</v>
      </c>
      <c r="L304" s="71" t="s">
        <v>0</v>
      </c>
      <c r="W304" s="71" t="s">
        <v>0</v>
      </c>
    </row>
    <row r="305" spans="1:23" s="51" customFormat="1" ht="15" customHeight="1">
      <c r="A305" s="138"/>
      <c r="B305" s="74"/>
      <c r="C305" s="263" t="s">
        <v>36</v>
      </c>
      <c r="D305" s="120">
        <f>SUM(D306,D307)</f>
        <v>0</v>
      </c>
      <c r="E305" s="364">
        <f t="shared" si="0"/>
        <v>0</v>
      </c>
      <c r="F305" s="120">
        <f>SUM(F306,F307)</f>
        <v>0</v>
      </c>
      <c r="G305" s="364">
        <f t="shared" si="1"/>
        <v>0</v>
      </c>
      <c r="H305" s="120">
        <f>SUM(H306,H307)</f>
        <v>0</v>
      </c>
      <c r="I305" s="364">
        <f t="shared" si="2"/>
        <v>0</v>
      </c>
      <c r="J305" s="374">
        <f>SUM(J306,J307)</f>
        <v>0</v>
      </c>
      <c r="K305" s="364">
        <f t="shared" si="2"/>
        <v>0</v>
      </c>
      <c r="L305" s="71" t="s">
        <v>0</v>
      </c>
      <c r="W305" s="71" t="s">
        <v>0</v>
      </c>
    </row>
    <row r="306" spans="1:23" s="51" customFormat="1" ht="15" customHeight="1">
      <c r="A306" s="138"/>
      <c r="B306" s="74"/>
      <c r="C306" s="255" t="s">
        <v>295</v>
      </c>
      <c r="D306" s="418" t="s">
        <v>9</v>
      </c>
      <c r="E306" s="364">
        <f t="shared" si="0"/>
        <v>0</v>
      </c>
      <c r="F306" s="418" t="s">
        <v>9</v>
      </c>
      <c r="G306" s="364">
        <f t="shared" si="1"/>
        <v>0</v>
      </c>
      <c r="H306" s="418" t="s">
        <v>9</v>
      </c>
      <c r="I306" s="364">
        <f t="shared" si="2"/>
        <v>0</v>
      </c>
      <c r="J306" s="374">
        <f>SUM('Baseline_&amp;_Adverse_Scenario'!D19)</f>
        <v>0</v>
      </c>
      <c r="K306" s="364">
        <f t="shared" si="2"/>
        <v>0</v>
      </c>
      <c r="L306" s="71" t="s">
        <v>0</v>
      </c>
      <c r="W306" s="71" t="s">
        <v>0</v>
      </c>
    </row>
    <row r="307" spans="1:23" s="51" customFormat="1" ht="15" customHeight="1">
      <c r="A307" s="138"/>
      <c r="B307" s="74"/>
      <c r="C307" s="255" t="s">
        <v>296</v>
      </c>
      <c r="D307" s="418" t="s">
        <v>9</v>
      </c>
      <c r="E307" s="364">
        <f t="shared" si="0"/>
        <v>0</v>
      </c>
      <c r="F307" s="418" t="s">
        <v>9</v>
      </c>
      <c r="G307" s="364">
        <f t="shared" si="1"/>
        <v>0</v>
      </c>
      <c r="H307" s="418" t="s">
        <v>9</v>
      </c>
      <c r="I307" s="364">
        <f t="shared" si="2"/>
        <v>0</v>
      </c>
      <c r="J307" s="374">
        <f>SUM('Baseline_&amp;_Adverse_Scenario'!D24)</f>
        <v>0</v>
      </c>
      <c r="K307" s="364">
        <f t="shared" si="2"/>
        <v>0</v>
      </c>
      <c r="L307" s="71" t="s">
        <v>0</v>
      </c>
      <c r="W307" s="71" t="s">
        <v>0</v>
      </c>
    </row>
    <row r="308" spans="1:23" s="51" customFormat="1" ht="15" customHeight="1">
      <c r="A308" s="138"/>
      <c r="B308" s="74"/>
      <c r="C308" s="256" t="s">
        <v>97</v>
      </c>
      <c r="D308" s="120">
        <f>SUM(D309,D310,D311,D312)</f>
        <v>0</v>
      </c>
      <c r="E308" s="364">
        <f t="shared" si="0"/>
        <v>0</v>
      </c>
      <c r="F308" s="120">
        <f>SUM(F309,F310,F311,F312)</f>
        <v>0</v>
      </c>
      <c r="G308" s="364">
        <f t="shared" si="1"/>
        <v>0</v>
      </c>
      <c r="H308" s="120">
        <f>SUM(H309,H310,H311,H312)</f>
        <v>0</v>
      </c>
      <c r="I308" s="364">
        <f t="shared" si="2"/>
        <v>0</v>
      </c>
      <c r="J308" s="374">
        <f>SUM(J309,J310,J311,J312)</f>
        <v>0</v>
      </c>
      <c r="K308" s="364">
        <f t="shared" si="2"/>
        <v>0</v>
      </c>
      <c r="L308" s="71" t="s">
        <v>0</v>
      </c>
      <c r="W308" s="71" t="s">
        <v>0</v>
      </c>
    </row>
    <row r="309" spans="1:23" s="51" customFormat="1" ht="15" customHeight="1">
      <c r="A309" s="138"/>
      <c r="B309" s="74"/>
      <c r="C309" s="257" t="s">
        <v>297</v>
      </c>
      <c r="D309" s="418" t="s">
        <v>9</v>
      </c>
      <c r="E309" s="364">
        <f t="shared" si="0"/>
        <v>0</v>
      </c>
      <c r="F309" s="418" t="s">
        <v>9</v>
      </c>
      <c r="G309" s="364">
        <f t="shared" si="1"/>
        <v>0</v>
      </c>
      <c r="H309" s="418" t="s">
        <v>9</v>
      </c>
      <c r="I309" s="364">
        <f t="shared" si="2"/>
        <v>0</v>
      </c>
      <c r="J309" s="374">
        <f>SUM('Baseline_&amp;_Adverse_Scenario'!D29)</f>
        <v>0</v>
      </c>
      <c r="K309" s="364">
        <f t="shared" si="2"/>
        <v>0</v>
      </c>
      <c r="L309" s="71" t="s">
        <v>0</v>
      </c>
      <c r="W309" s="71" t="s">
        <v>0</v>
      </c>
    </row>
    <row r="310" spans="1:23" s="51" customFormat="1" ht="15" customHeight="1">
      <c r="A310" s="138"/>
      <c r="B310" s="74"/>
      <c r="C310" s="258" t="s">
        <v>107</v>
      </c>
      <c r="D310" s="418" t="s">
        <v>9</v>
      </c>
      <c r="E310" s="364">
        <f t="shared" si="0"/>
        <v>0</v>
      </c>
      <c r="F310" s="418" t="s">
        <v>9</v>
      </c>
      <c r="G310" s="364">
        <f t="shared" si="1"/>
        <v>0</v>
      </c>
      <c r="H310" s="418" t="s">
        <v>9</v>
      </c>
      <c r="I310" s="364">
        <f t="shared" si="2"/>
        <v>0</v>
      </c>
      <c r="J310" s="374">
        <f>SUM('Baseline_&amp;_Adverse_Scenario'!D32)</f>
        <v>0</v>
      </c>
      <c r="K310" s="364">
        <f t="shared" si="2"/>
        <v>0</v>
      </c>
      <c r="L310" s="71" t="s">
        <v>0</v>
      </c>
      <c r="W310" s="71" t="s">
        <v>0</v>
      </c>
    </row>
    <row r="311" spans="1:23" s="51" customFormat="1" ht="15" customHeight="1">
      <c r="A311" s="138"/>
      <c r="B311" s="74"/>
      <c r="C311" s="258" t="s">
        <v>298</v>
      </c>
      <c r="D311" s="418" t="s">
        <v>9</v>
      </c>
      <c r="E311" s="364">
        <f t="shared" si="0"/>
        <v>0</v>
      </c>
      <c r="F311" s="418" t="s">
        <v>9</v>
      </c>
      <c r="G311" s="364">
        <f t="shared" si="1"/>
        <v>0</v>
      </c>
      <c r="H311" s="418" t="s">
        <v>9</v>
      </c>
      <c r="I311" s="364">
        <f t="shared" si="2"/>
        <v>0</v>
      </c>
      <c r="J311" s="374">
        <f>SUM('Baseline_&amp;_Adverse_Scenario'!D37)</f>
        <v>0</v>
      </c>
      <c r="K311" s="364">
        <f t="shared" si="2"/>
        <v>0</v>
      </c>
      <c r="L311" s="71" t="s">
        <v>0</v>
      </c>
      <c r="W311" s="71" t="s">
        <v>0</v>
      </c>
    </row>
    <row r="312" spans="1:23" s="51" customFormat="1" ht="15" customHeight="1">
      <c r="A312" s="138"/>
      <c r="B312" s="74"/>
      <c r="C312" s="258" t="s">
        <v>299</v>
      </c>
      <c r="D312" s="418" t="s">
        <v>9</v>
      </c>
      <c r="E312" s="364">
        <f t="shared" si="0"/>
        <v>0</v>
      </c>
      <c r="F312" s="418" t="s">
        <v>9</v>
      </c>
      <c r="G312" s="364">
        <f t="shared" si="1"/>
        <v>0</v>
      </c>
      <c r="H312" s="418" t="s">
        <v>9</v>
      </c>
      <c r="I312" s="364">
        <f t="shared" si="2"/>
        <v>0</v>
      </c>
      <c r="J312" s="374">
        <f>SUM('Baseline_&amp;_Adverse_Scenario'!D38)</f>
        <v>0</v>
      </c>
      <c r="K312" s="364">
        <f t="shared" si="2"/>
        <v>0</v>
      </c>
      <c r="L312" s="71" t="s">
        <v>0</v>
      </c>
      <c r="W312" s="71" t="s">
        <v>0</v>
      </c>
    </row>
    <row r="313" spans="1:23" s="51" customFormat="1" ht="15" customHeight="1">
      <c r="A313" s="138"/>
      <c r="B313" s="74"/>
      <c r="C313" s="259" t="s">
        <v>106</v>
      </c>
      <c r="D313" s="418" t="s">
        <v>9</v>
      </c>
      <c r="E313" s="364">
        <f t="shared" si="0"/>
        <v>0</v>
      </c>
      <c r="F313" s="418" t="s">
        <v>9</v>
      </c>
      <c r="G313" s="364">
        <f t="shared" si="1"/>
        <v>0</v>
      </c>
      <c r="H313" s="418" t="s">
        <v>9</v>
      </c>
      <c r="I313" s="364">
        <f t="shared" si="2"/>
        <v>0</v>
      </c>
      <c r="J313" s="374">
        <f>SUM('Baseline_&amp;_Adverse_Scenario'!D39)</f>
        <v>0</v>
      </c>
      <c r="K313" s="364">
        <f t="shared" si="2"/>
        <v>0</v>
      </c>
      <c r="L313" s="71" t="s">
        <v>0</v>
      </c>
      <c r="W313" s="71" t="s">
        <v>0</v>
      </c>
    </row>
    <row r="314" spans="1:23" s="51" customFormat="1" ht="15" customHeight="1">
      <c r="A314" s="138"/>
      <c r="B314" s="74"/>
      <c r="C314" s="259" t="s">
        <v>39</v>
      </c>
      <c r="D314" s="418" t="s">
        <v>9</v>
      </c>
      <c r="E314" s="364">
        <f t="shared" si="0"/>
        <v>0</v>
      </c>
      <c r="F314" s="418" t="s">
        <v>9</v>
      </c>
      <c r="G314" s="364">
        <f t="shared" si="1"/>
        <v>0</v>
      </c>
      <c r="H314" s="418" t="s">
        <v>9</v>
      </c>
      <c r="I314" s="364">
        <f t="shared" si="2"/>
        <v>0</v>
      </c>
      <c r="J314" s="374">
        <f>SUM('Baseline_&amp;_Adverse_Scenario'!D42)</f>
        <v>0</v>
      </c>
      <c r="K314" s="364">
        <f t="shared" si="2"/>
        <v>0</v>
      </c>
      <c r="L314" s="71" t="s">
        <v>0</v>
      </c>
      <c r="W314" s="71" t="s">
        <v>0</v>
      </c>
    </row>
    <row r="315" spans="1:23" s="51" customFormat="1" ht="15" customHeight="1">
      <c r="A315" s="138"/>
      <c r="B315" s="74"/>
      <c r="C315" s="259" t="s">
        <v>120</v>
      </c>
      <c r="D315" s="418" t="s">
        <v>9</v>
      </c>
      <c r="E315" s="364">
        <f t="shared" si="0"/>
        <v>0</v>
      </c>
      <c r="F315" s="418" t="s">
        <v>9</v>
      </c>
      <c r="G315" s="364">
        <f t="shared" si="1"/>
        <v>0</v>
      </c>
      <c r="H315" s="418" t="s">
        <v>9</v>
      </c>
      <c r="I315" s="364">
        <f t="shared" si="2"/>
        <v>0</v>
      </c>
      <c r="J315" s="374">
        <f>SUM('Baseline_&amp;_Adverse_Scenario'!D43)</f>
        <v>0</v>
      </c>
      <c r="K315" s="364">
        <f t="shared" si="2"/>
        <v>0</v>
      </c>
      <c r="L315" s="71" t="s">
        <v>0</v>
      </c>
      <c r="W315" s="71" t="s">
        <v>0</v>
      </c>
    </row>
    <row r="316" spans="1:23" s="51" customFormat="1" ht="15" customHeight="1">
      <c r="A316" s="138"/>
      <c r="B316" s="74"/>
      <c r="C316" s="263" t="s">
        <v>82</v>
      </c>
      <c r="D316" s="418" t="s">
        <v>9</v>
      </c>
      <c r="E316" s="364">
        <f t="shared" si="0"/>
        <v>0</v>
      </c>
      <c r="F316" s="418" t="s">
        <v>9</v>
      </c>
      <c r="G316" s="364">
        <f t="shared" si="1"/>
        <v>0</v>
      </c>
      <c r="H316" s="418" t="s">
        <v>9</v>
      </c>
      <c r="I316" s="364">
        <f t="shared" si="2"/>
        <v>0</v>
      </c>
      <c r="J316" s="374">
        <f>SUM('Baseline_&amp;_Adverse_Scenario'!D44)</f>
        <v>0</v>
      </c>
      <c r="K316" s="364">
        <f t="shared" si="2"/>
        <v>0</v>
      </c>
      <c r="L316" s="71" t="s">
        <v>0</v>
      </c>
      <c r="W316" s="71" t="s">
        <v>0</v>
      </c>
    </row>
    <row r="317" spans="1:23" s="51" customFormat="1" ht="15" customHeight="1">
      <c r="A317" s="138"/>
      <c r="B317" s="74"/>
      <c r="C317" s="264" t="s">
        <v>40</v>
      </c>
      <c r="D317" s="353" t="s">
        <v>9</v>
      </c>
      <c r="E317" s="362">
        <f t="shared" si="0"/>
        <v>0</v>
      </c>
      <c r="F317" s="353" t="s">
        <v>9</v>
      </c>
      <c r="G317" s="362">
        <f t="shared" si="1"/>
        <v>0</v>
      </c>
      <c r="H317" s="353" t="s">
        <v>9</v>
      </c>
      <c r="I317" s="362">
        <f t="shared" si="2"/>
        <v>0</v>
      </c>
      <c r="J317" s="374">
        <f>SUM('Baseline_&amp;_Adverse_Scenario'!D45)</f>
        <v>0</v>
      </c>
      <c r="K317" s="362">
        <f t="shared" si="2"/>
        <v>0</v>
      </c>
      <c r="L317" s="71" t="s">
        <v>0</v>
      </c>
      <c r="W317" s="71" t="s">
        <v>0</v>
      </c>
    </row>
    <row r="318" spans="1:23" s="51" customFormat="1" ht="15" customHeight="1">
      <c r="A318" s="138"/>
      <c r="B318" s="74"/>
      <c r="C318" s="252" t="s">
        <v>29</v>
      </c>
      <c r="D318" s="254">
        <f>SUM(D304,D305,D308,D313,D314,D315,D316,D317)</f>
        <v>0</v>
      </c>
      <c r="E318" s="362">
        <f t="shared" si="0"/>
        <v>0</v>
      </c>
      <c r="F318" s="254">
        <f>SUM(F304,F305,F308,F313,F314,F315,F316,F317)</f>
        <v>0</v>
      </c>
      <c r="G318" s="362">
        <f t="shared" si="1"/>
        <v>0</v>
      </c>
      <c r="H318" s="254">
        <f>SUM(H304,H305,H308,H313,H314,H315,H316,H317)</f>
        <v>0</v>
      </c>
      <c r="I318" s="362">
        <f>IF(SUM(H$318)&lt;&gt;0,SUM(H318)/SUM(H$318),0)</f>
        <v>0</v>
      </c>
      <c r="J318" s="375">
        <f>SUM(J304,J305,J308,J313,J314,J315,J316,J317)</f>
        <v>0</v>
      </c>
      <c r="K318" s="362">
        <f>IF(SUM(J$318)&lt;&gt;0,SUM(J318)/SUM(J$318),0)</f>
        <v>0</v>
      </c>
      <c r="L318" s="71" t="s">
        <v>0</v>
      </c>
      <c r="W318" s="71" t="s">
        <v>0</v>
      </c>
    </row>
    <row r="319" spans="1:23" s="51" customFormat="1" ht="4.5" customHeight="1">
      <c r="A319" s="138"/>
      <c r="B319" s="74"/>
      <c r="C319" s="313"/>
      <c r="D319" s="314"/>
      <c r="E319" s="315"/>
      <c r="F319" s="315"/>
      <c r="G319"/>
      <c r="H319"/>
      <c r="J319" s="73"/>
      <c r="K319" s="73"/>
      <c r="L319" s="71" t="s">
        <v>0</v>
      </c>
      <c r="W319" s="71" t="s">
        <v>0</v>
      </c>
    </row>
    <row r="320" spans="1:23" s="51" customFormat="1" ht="15" customHeight="1">
      <c r="A320" s="138"/>
      <c r="B320" s="74"/>
      <c r="C320" s="313"/>
      <c r="D320" s="314"/>
      <c r="E320" s="315"/>
      <c r="F320" s="315"/>
      <c r="G320"/>
      <c r="H320"/>
      <c r="J320" s="73"/>
      <c r="K320" s="73"/>
      <c r="L320" s="71" t="s">
        <v>0</v>
      </c>
      <c r="W320" s="71" t="s">
        <v>0</v>
      </c>
    </row>
    <row r="321" spans="1:23" s="51" customFormat="1" ht="4.5" customHeight="1">
      <c r="A321" s="138"/>
      <c r="B321" s="74"/>
      <c r="C321" s="313"/>
      <c r="D321" s="314"/>
      <c r="E321" s="315"/>
      <c r="F321" s="315"/>
      <c r="G321"/>
      <c r="H321"/>
      <c r="J321" s="73"/>
      <c r="K321" s="73"/>
      <c r="L321" s="71" t="s">
        <v>0</v>
      </c>
      <c r="W321" s="71" t="s">
        <v>0</v>
      </c>
    </row>
    <row r="322" spans="1:23" s="51" customFormat="1" ht="18.75">
      <c r="A322" s="138"/>
      <c r="B322" s="74"/>
      <c r="C322" s="297" t="s">
        <v>391</v>
      </c>
      <c r="D322" s="298"/>
      <c r="E322" s="298"/>
      <c r="F322" s="298"/>
      <c r="G322" s="298"/>
      <c r="H322" s="298"/>
      <c r="I322" s="298"/>
      <c r="J322" s="372"/>
      <c r="K322" s="299"/>
      <c r="L322" s="71" t="s">
        <v>0</v>
      </c>
      <c r="W322" s="71" t="s">
        <v>0</v>
      </c>
    </row>
    <row r="323" spans="1:23" s="51" customFormat="1" ht="4.5" customHeight="1">
      <c r="A323" s="138"/>
      <c r="B323" s="74"/>
      <c r="C323" s="313"/>
      <c r="D323" s="314"/>
      <c r="E323" s="315"/>
      <c r="F323" s="315"/>
      <c r="G323"/>
      <c r="H323"/>
      <c r="J323" s="73"/>
      <c r="K323" s="73"/>
      <c r="L323" s="71" t="s">
        <v>0</v>
      </c>
      <c r="W323" s="71" t="s">
        <v>0</v>
      </c>
    </row>
    <row r="324" spans="1:23" s="51" customFormat="1" ht="15" customHeight="1">
      <c r="A324" s="138"/>
      <c r="B324" s="74"/>
      <c r="C324" s="313"/>
      <c r="D324" s="314"/>
      <c r="E324" s="315"/>
      <c r="F324" s="315"/>
      <c r="G324"/>
      <c r="H324"/>
      <c r="J324" s="73"/>
      <c r="K324" s="73"/>
      <c r="L324" s="71" t="s">
        <v>0</v>
      </c>
      <c r="W324" s="71" t="s">
        <v>0</v>
      </c>
    </row>
    <row r="325" spans="1:23" s="51" customFormat="1" ht="4.5" customHeight="1">
      <c r="A325" s="138"/>
      <c r="B325" s="74"/>
      <c r="C325" s="313"/>
      <c r="D325" s="314"/>
      <c r="E325" s="315"/>
      <c r="F325" s="315"/>
      <c r="G325"/>
      <c r="H325"/>
      <c r="J325" s="73"/>
      <c r="K325" s="73"/>
      <c r="L325" s="71" t="s">
        <v>0</v>
      </c>
      <c r="W325" s="71" t="s">
        <v>0</v>
      </c>
    </row>
    <row r="326" spans="1:23" s="51" customFormat="1" ht="15" customHeight="1">
      <c r="A326" s="138"/>
      <c r="B326" s="74"/>
      <c r="C326" s="157" t="s">
        <v>499</v>
      </c>
      <c r="D326" s="4"/>
      <c r="E326" s="4"/>
      <c r="F326" s="4"/>
      <c r="G326" s="4"/>
      <c r="H326" s="4"/>
      <c r="I326" s="4"/>
      <c r="J326" s="373"/>
      <c r="K326" s="207"/>
      <c r="L326" s="71" t="s">
        <v>0</v>
      </c>
      <c r="W326" s="71" t="s">
        <v>0</v>
      </c>
    </row>
    <row r="327" spans="1:23" s="51" customFormat="1" ht="4.5" customHeight="1">
      <c r="A327" s="138"/>
      <c r="B327" s="74"/>
      <c r="C327" s="313"/>
      <c r="D327" s="314"/>
      <c r="E327" s="315"/>
      <c r="F327" s="315"/>
      <c r="G327"/>
      <c r="H327"/>
      <c r="J327" s="73"/>
      <c r="K327" s="73"/>
      <c r="L327" s="71" t="s">
        <v>0</v>
      </c>
      <c r="W327" s="71" t="s">
        <v>0</v>
      </c>
    </row>
    <row r="328" spans="1:23" s="51" customFormat="1" ht="30" customHeight="1">
      <c r="A328" s="138"/>
      <c r="B328" s="74"/>
      <c r="C328" s="454" t="s">
        <v>498</v>
      </c>
      <c r="D328" s="455"/>
      <c r="E328" s="456"/>
      <c r="F328" s="226" t="s">
        <v>9</v>
      </c>
      <c r="G328"/>
      <c r="H328"/>
      <c r="J328" s="73"/>
      <c r="K328" s="73"/>
      <c r="L328" s="71" t="s">
        <v>0</v>
      </c>
      <c r="W328" s="71" t="s">
        <v>0</v>
      </c>
    </row>
    <row r="329" spans="1:23" s="51" customFormat="1" ht="4.5" customHeight="1">
      <c r="A329" s="138"/>
      <c r="B329" s="74"/>
      <c r="C329" s="313"/>
      <c r="D329" s="314"/>
      <c r="E329" s="315"/>
      <c r="F329" s="315"/>
      <c r="G329"/>
      <c r="H329"/>
      <c r="J329" s="73"/>
      <c r="K329" s="73"/>
      <c r="L329" s="71" t="s">
        <v>0</v>
      </c>
      <c r="W329" s="71" t="s">
        <v>0</v>
      </c>
    </row>
    <row r="330" spans="1:23" s="51" customFormat="1" ht="15" customHeight="1">
      <c r="A330" s="138"/>
      <c r="B330" s="74"/>
      <c r="C330" s="313"/>
      <c r="D330" s="314"/>
      <c r="E330" s="315"/>
      <c r="F330" s="315"/>
      <c r="G330"/>
      <c r="H330"/>
      <c r="J330" s="73"/>
      <c r="K330" s="73"/>
      <c r="L330" s="71" t="s">
        <v>0</v>
      </c>
      <c r="W330" s="71" t="s">
        <v>0</v>
      </c>
    </row>
    <row r="331" spans="1:23" s="51" customFormat="1" ht="4.5" customHeight="1">
      <c r="A331" s="138"/>
      <c r="B331" s="74"/>
      <c r="C331" s="313"/>
      <c r="D331" s="314"/>
      <c r="E331" s="315"/>
      <c r="F331" s="315"/>
      <c r="G331"/>
      <c r="H331"/>
      <c r="J331" s="73"/>
      <c r="K331" s="73"/>
      <c r="L331" s="71" t="s">
        <v>0</v>
      </c>
      <c r="W331" s="71" t="s">
        <v>0</v>
      </c>
    </row>
    <row r="332" spans="1:23" s="51" customFormat="1" ht="15" customHeight="1">
      <c r="A332" s="138"/>
      <c r="B332" s="74"/>
      <c r="C332" s="157" t="s">
        <v>500</v>
      </c>
      <c r="D332" s="4"/>
      <c r="E332" s="4"/>
      <c r="F332" s="4"/>
      <c r="G332" s="4"/>
      <c r="H332" s="4"/>
      <c r="I332" s="4"/>
      <c r="J332" s="373"/>
      <c r="K332" s="207"/>
      <c r="L332" s="71" t="s">
        <v>0</v>
      </c>
      <c r="W332" s="71" t="s">
        <v>0</v>
      </c>
    </row>
    <row r="333" spans="1:23" s="51" customFormat="1" ht="4.5" customHeight="1">
      <c r="A333" s="138"/>
      <c r="B333" s="74"/>
      <c r="C333" s="313"/>
      <c r="D333" s="314"/>
      <c r="E333" s="315"/>
      <c r="F333" s="315"/>
      <c r="G333"/>
      <c r="H333"/>
      <c r="J333" s="73"/>
      <c r="K333" s="73"/>
      <c r="L333" s="71" t="s">
        <v>0</v>
      </c>
      <c r="W333" s="71" t="s">
        <v>0</v>
      </c>
    </row>
    <row r="334" spans="1:23" s="51" customFormat="1" ht="60" customHeight="1">
      <c r="A334" s="138"/>
      <c r="B334" s="74"/>
      <c r="C334" s="454" t="s">
        <v>511</v>
      </c>
      <c r="D334" s="455"/>
      <c r="E334" s="456"/>
      <c r="F334" s="226" t="s">
        <v>9</v>
      </c>
      <c r="G334"/>
      <c r="H334"/>
      <c r="J334" s="73"/>
      <c r="K334" s="73"/>
      <c r="L334" s="71" t="s">
        <v>0</v>
      </c>
      <c r="W334" s="71" t="s">
        <v>0</v>
      </c>
    </row>
    <row r="335" spans="1:23" s="51" customFormat="1" ht="4.5" customHeight="1">
      <c r="A335" s="138"/>
      <c r="B335" s="74"/>
      <c r="C335" s="313"/>
      <c r="D335" s="314"/>
      <c r="E335" s="315"/>
      <c r="F335" s="315"/>
      <c r="G335"/>
      <c r="H335"/>
      <c r="J335" s="73"/>
      <c r="K335" s="73"/>
      <c r="L335" s="71" t="s">
        <v>0</v>
      </c>
      <c r="W335" s="71" t="s">
        <v>0</v>
      </c>
    </row>
    <row r="336" spans="1:23" s="51" customFormat="1" ht="45" customHeight="1">
      <c r="A336" s="138"/>
      <c r="B336" s="74"/>
      <c r="C336" s="454" t="s">
        <v>512</v>
      </c>
      <c r="D336" s="455"/>
      <c r="E336" s="456"/>
      <c r="F336" s="226" t="s">
        <v>9</v>
      </c>
      <c r="G336"/>
      <c r="H336"/>
      <c r="J336" s="73"/>
      <c r="K336" s="73"/>
      <c r="L336" s="71" t="s">
        <v>0</v>
      </c>
      <c r="W336" s="71" t="s">
        <v>0</v>
      </c>
    </row>
    <row r="337" spans="1:23" s="51" customFormat="1" ht="4.5" customHeight="1">
      <c r="A337" s="138"/>
      <c r="B337" s="74"/>
      <c r="C337" s="313"/>
      <c r="D337" s="314"/>
      <c r="E337" s="315"/>
      <c r="F337" s="315"/>
      <c r="G337"/>
      <c r="H337"/>
      <c r="J337" s="73"/>
      <c r="K337" s="73"/>
      <c r="L337" s="71" t="s">
        <v>0</v>
      </c>
      <c r="W337" s="71" t="s">
        <v>0</v>
      </c>
    </row>
    <row r="338" spans="1:23" s="51" customFormat="1" ht="15" customHeight="1">
      <c r="A338" s="138"/>
      <c r="B338" s="74"/>
      <c r="C338" s="313"/>
      <c r="D338" s="314"/>
      <c r="E338" s="315"/>
      <c r="F338" s="315"/>
      <c r="G338"/>
      <c r="H338"/>
      <c r="J338" s="73"/>
      <c r="K338" s="73"/>
      <c r="L338" s="71" t="s">
        <v>0</v>
      </c>
      <c r="W338" s="71" t="s">
        <v>0</v>
      </c>
    </row>
    <row r="339" spans="1:23" s="51" customFormat="1" ht="4.5" customHeight="1">
      <c r="A339" s="138"/>
      <c r="B339" s="74"/>
      <c r="C339" s="313"/>
      <c r="D339" s="314"/>
      <c r="E339" s="315"/>
      <c r="F339" s="315"/>
      <c r="G339"/>
      <c r="H339"/>
      <c r="J339" s="73"/>
      <c r="K339" s="73"/>
      <c r="L339" s="71" t="s">
        <v>0</v>
      </c>
      <c r="W339" s="71" t="s">
        <v>0</v>
      </c>
    </row>
    <row r="340" spans="1:23" s="51" customFormat="1" ht="18.75">
      <c r="A340" s="138"/>
      <c r="B340" s="74"/>
      <c r="C340" s="297" t="s">
        <v>489</v>
      </c>
      <c r="D340" s="298"/>
      <c r="E340" s="298"/>
      <c r="F340" s="298"/>
      <c r="G340" s="298"/>
      <c r="H340" s="298"/>
      <c r="I340" s="298"/>
      <c r="J340" s="372"/>
      <c r="K340" s="299"/>
      <c r="L340" s="71" t="s">
        <v>0</v>
      </c>
      <c r="W340" s="71" t="s">
        <v>0</v>
      </c>
    </row>
    <row r="341" spans="1:23" s="51" customFormat="1" ht="5.25" customHeight="1">
      <c r="A341" s="138"/>
      <c r="B341" s="74"/>
      <c r="C341" s="313"/>
      <c r="D341" s="314"/>
      <c r="E341" s="315"/>
      <c r="F341" s="315"/>
      <c r="G341"/>
      <c r="H341"/>
      <c r="J341" s="73"/>
      <c r="K341" s="73"/>
      <c r="L341" s="71" t="s">
        <v>0</v>
      </c>
      <c r="W341" s="71" t="s">
        <v>0</v>
      </c>
    </row>
    <row r="342" spans="1:23" s="51" customFormat="1" ht="15" customHeight="1">
      <c r="A342" s="138"/>
      <c r="B342" s="74"/>
      <c r="C342" s="313"/>
      <c r="D342" s="314"/>
      <c r="E342" s="315"/>
      <c r="F342" s="315"/>
      <c r="G342"/>
      <c r="H342"/>
      <c r="J342" s="73"/>
      <c r="K342" s="73"/>
      <c r="L342" s="71" t="s">
        <v>0</v>
      </c>
      <c r="W342" s="71" t="s">
        <v>0</v>
      </c>
    </row>
    <row r="343" spans="1:23" s="51" customFormat="1" ht="4.5" customHeight="1">
      <c r="A343" s="138"/>
      <c r="B343" s="74"/>
      <c r="C343" s="313"/>
      <c r="D343" s="314"/>
      <c r="E343" s="315"/>
      <c r="F343" s="315"/>
      <c r="G343"/>
      <c r="H343"/>
      <c r="J343" s="73"/>
      <c r="K343" s="73"/>
      <c r="L343" s="71" t="s">
        <v>0</v>
      </c>
      <c r="W343" s="71" t="s">
        <v>0</v>
      </c>
    </row>
    <row r="344" spans="2:23" ht="30">
      <c r="B344" s="209"/>
      <c r="C344" s="12" t="s">
        <v>513</v>
      </c>
      <c r="D344" s="18"/>
      <c r="E344" s="18"/>
      <c r="F344" s="3" t="s">
        <v>128</v>
      </c>
      <c r="G344" s="22"/>
      <c r="H344" s="210"/>
      <c r="I344" s="210"/>
      <c r="J344" s="210"/>
      <c r="K344" s="210"/>
      <c r="L344" s="71" t="s">
        <v>0</v>
      </c>
      <c r="W344" s="71" t="s">
        <v>0</v>
      </c>
    </row>
    <row r="345" spans="3:23" ht="15">
      <c r="C345" s="96" t="s">
        <v>143</v>
      </c>
      <c r="D345" s="19"/>
      <c r="E345" s="19"/>
      <c r="F345" s="211" t="s">
        <v>9</v>
      </c>
      <c r="G345" s="212"/>
      <c r="L345" s="71" t="s">
        <v>0</v>
      </c>
      <c r="W345" s="71" t="s">
        <v>0</v>
      </c>
    </row>
    <row r="346" spans="3:23" ht="15">
      <c r="C346" s="99" t="s">
        <v>144</v>
      </c>
      <c r="D346" s="16"/>
      <c r="E346" s="16"/>
      <c r="F346" s="211" t="s">
        <v>9</v>
      </c>
      <c r="G346" s="212"/>
      <c r="L346" s="71" t="s">
        <v>0</v>
      </c>
      <c r="W346" s="71" t="s">
        <v>0</v>
      </c>
    </row>
    <row r="347" spans="3:23" ht="15">
      <c r="C347" s="99" t="s">
        <v>145</v>
      </c>
      <c r="D347" s="16"/>
      <c r="E347" s="16"/>
      <c r="F347" s="211" t="s">
        <v>9</v>
      </c>
      <c r="G347" s="212"/>
      <c r="L347" s="71" t="s">
        <v>0</v>
      </c>
      <c r="W347" s="71" t="s">
        <v>0</v>
      </c>
    </row>
    <row r="348" spans="3:23" ht="15">
      <c r="C348" s="101" t="s">
        <v>76</v>
      </c>
      <c r="D348" s="213"/>
      <c r="E348" s="213"/>
      <c r="F348" s="214" t="s">
        <v>9</v>
      </c>
      <c r="G348" s="212"/>
      <c r="L348" s="71" t="s">
        <v>0</v>
      </c>
      <c r="W348" s="71" t="s">
        <v>0</v>
      </c>
    </row>
    <row r="349" spans="3:23" ht="4.5" customHeight="1">
      <c r="C349" s="144"/>
      <c r="D349" s="144"/>
      <c r="E349" s="144"/>
      <c r="F349" s="212"/>
      <c r="G349" s="212"/>
      <c r="L349" s="71" t="s">
        <v>0</v>
      </c>
      <c r="W349" s="71" t="s">
        <v>0</v>
      </c>
    </row>
    <row r="350" spans="2:23" ht="135">
      <c r="B350" s="209"/>
      <c r="C350" s="12" t="str">
        <f>CONCATENATE("54. Please provide the value of the IORP’s government bond portfolio at the end of 2016 using the breakdown to assess the impact of the government bond stresses in the adverse scenario (in "&amp;Participant!D14&amp;" of "&amp;Participant!D13&amp;").","If (part of) stresses were evaluated using the simplifications provided (Euro area/Europe aggregates) then IORPs do not have to provide the value for these government bonds broken down by individual countries, but only for the aggregates.")</f>
        <v>54. Please provide the value of the IORP’s government bond portfolio at the end of 2016 using the breakdown to assess the impact of the government bond stresses in the adverse scenario (in - of -).If (part of) stresses were evaluated using the simplifications provided (Euro area/Europe aggregates) then IORPs do not have to provide the value for these government bonds broken down by individual countries, but only for the aggregates.</v>
      </c>
      <c r="D350" s="3" t="str">
        <f>"Data, "&amp;Participant!D13&amp;", "&amp;Participant!D14</f>
        <v>Data, -, -</v>
      </c>
      <c r="E350" s="144"/>
      <c r="F350" s="212"/>
      <c r="G350" s="212"/>
      <c r="L350" s="71" t="s">
        <v>0</v>
      </c>
      <c r="W350" s="71" t="s">
        <v>0</v>
      </c>
    </row>
    <row r="351" spans="2:23" ht="15">
      <c r="B351" s="209"/>
      <c r="C351" s="21" t="s">
        <v>24</v>
      </c>
      <c r="D351" s="176">
        <f>SUM(D353:D382)+SUM(D384:D385)+SUM(D387)</f>
        <v>0</v>
      </c>
      <c r="E351" s="417">
        <f>IF(OR(D351&gt;'Baseline_&amp;_Adverse_Scenario'!D29+0.5,D351&lt;'Baseline_&amp;_Adverse_Scenario'!D29-0.5),"ALERT: Total deviates from value government bonds in [Baseline_&amp;_Adverse_Scenario] sheet ","")</f>
      </c>
      <c r="G351" s="212"/>
      <c r="L351" s="71" t="s">
        <v>0</v>
      </c>
      <c r="W351" s="71" t="s">
        <v>0</v>
      </c>
    </row>
    <row r="352" spans="2:23" ht="15">
      <c r="B352" s="209"/>
      <c r="C352" s="20" t="s">
        <v>173</v>
      </c>
      <c r="D352" s="17"/>
      <c r="E352" s="144"/>
      <c r="F352" s="212"/>
      <c r="G352" s="212"/>
      <c r="L352" s="71" t="s">
        <v>0</v>
      </c>
      <c r="W352" s="71" t="s">
        <v>0</v>
      </c>
    </row>
    <row r="353" spans="3:23" ht="15">
      <c r="C353" s="109" t="s">
        <v>146</v>
      </c>
      <c r="D353" s="116" t="s">
        <v>9</v>
      </c>
      <c r="E353" s="144"/>
      <c r="F353" s="212"/>
      <c r="G353" s="212"/>
      <c r="L353" s="71" t="s">
        <v>0</v>
      </c>
      <c r="W353" s="71" t="s">
        <v>0</v>
      </c>
    </row>
    <row r="354" spans="3:23" ht="15">
      <c r="C354" s="109" t="s">
        <v>147</v>
      </c>
      <c r="D354" s="116" t="s">
        <v>9</v>
      </c>
      <c r="E354" s="144"/>
      <c r="F354" s="212"/>
      <c r="G354" s="212"/>
      <c r="L354" s="71" t="s">
        <v>0</v>
      </c>
      <c r="W354" s="71" t="s">
        <v>0</v>
      </c>
    </row>
    <row r="355" spans="3:23" ht="15">
      <c r="C355" s="109" t="s">
        <v>148</v>
      </c>
      <c r="D355" s="116" t="s">
        <v>9</v>
      </c>
      <c r="E355" s="144"/>
      <c r="F355" s="212"/>
      <c r="G355" s="212"/>
      <c r="L355" s="71" t="s">
        <v>0</v>
      </c>
      <c r="W355" s="71" t="s">
        <v>0</v>
      </c>
    </row>
    <row r="356" spans="3:23" ht="15">
      <c r="C356" s="216" t="s">
        <v>149</v>
      </c>
      <c r="D356" s="418" t="s">
        <v>9</v>
      </c>
      <c r="E356" s="144"/>
      <c r="F356" s="212"/>
      <c r="G356" s="212"/>
      <c r="L356" s="71" t="s">
        <v>0</v>
      </c>
      <c r="W356" s="71" t="s">
        <v>0</v>
      </c>
    </row>
    <row r="357" spans="3:23" ht="15">
      <c r="C357" s="109" t="s">
        <v>150</v>
      </c>
      <c r="D357" s="116" t="s">
        <v>9</v>
      </c>
      <c r="E357" s="144"/>
      <c r="F357" s="212"/>
      <c r="G357" s="212"/>
      <c r="L357" s="71" t="s">
        <v>0</v>
      </c>
      <c r="W357" s="71" t="s">
        <v>0</v>
      </c>
    </row>
    <row r="358" spans="3:23" ht="15">
      <c r="C358" s="109" t="s">
        <v>151</v>
      </c>
      <c r="D358" s="116" t="s">
        <v>9</v>
      </c>
      <c r="E358" s="144"/>
      <c r="F358" s="212"/>
      <c r="G358" s="212"/>
      <c r="L358" s="71" t="s">
        <v>0</v>
      </c>
      <c r="W358" s="71" t="s">
        <v>0</v>
      </c>
    </row>
    <row r="359" spans="3:23" ht="15">
      <c r="C359" s="109" t="s">
        <v>152</v>
      </c>
      <c r="D359" s="116" t="s">
        <v>9</v>
      </c>
      <c r="E359" s="144"/>
      <c r="F359" s="212"/>
      <c r="G359" s="212"/>
      <c r="L359" s="71" t="s">
        <v>0</v>
      </c>
      <c r="W359" s="71" t="s">
        <v>0</v>
      </c>
    </row>
    <row r="360" spans="3:23" ht="15">
      <c r="C360" s="216" t="s">
        <v>153</v>
      </c>
      <c r="D360" s="418" t="s">
        <v>9</v>
      </c>
      <c r="E360" s="144"/>
      <c r="F360" s="212"/>
      <c r="G360" s="212"/>
      <c r="L360" s="71" t="s">
        <v>0</v>
      </c>
      <c r="W360" s="71" t="s">
        <v>0</v>
      </c>
    </row>
    <row r="361" spans="3:23" ht="15">
      <c r="C361" s="216" t="s">
        <v>154</v>
      </c>
      <c r="D361" s="116" t="s">
        <v>9</v>
      </c>
      <c r="E361" s="144"/>
      <c r="F361" s="212"/>
      <c r="G361" s="212"/>
      <c r="L361" s="71" t="s">
        <v>0</v>
      </c>
      <c r="W361" s="71" t="s">
        <v>0</v>
      </c>
    </row>
    <row r="362" spans="3:23" ht="15">
      <c r="C362" s="216" t="s">
        <v>155</v>
      </c>
      <c r="D362" s="116" t="s">
        <v>9</v>
      </c>
      <c r="E362" s="144"/>
      <c r="F362" s="212"/>
      <c r="G362" s="212"/>
      <c r="L362" s="71" t="s">
        <v>0</v>
      </c>
      <c r="W362" s="71" t="s">
        <v>0</v>
      </c>
    </row>
    <row r="363" spans="3:23" ht="15">
      <c r="C363" s="109" t="s">
        <v>156</v>
      </c>
      <c r="D363" s="116" t="s">
        <v>9</v>
      </c>
      <c r="E363" s="144"/>
      <c r="F363" s="212"/>
      <c r="G363" s="212"/>
      <c r="L363" s="71" t="s">
        <v>0</v>
      </c>
      <c r="W363" s="71" t="s">
        <v>0</v>
      </c>
    </row>
    <row r="364" spans="3:23" ht="15">
      <c r="C364" s="109" t="s">
        <v>157</v>
      </c>
      <c r="D364" s="418" t="s">
        <v>9</v>
      </c>
      <c r="E364" s="144"/>
      <c r="F364" s="212"/>
      <c r="G364" s="212"/>
      <c r="L364" s="71" t="s">
        <v>0</v>
      </c>
      <c r="W364" s="71" t="s">
        <v>0</v>
      </c>
    </row>
    <row r="365" spans="3:23" ht="15">
      <c r="C365" s="109" t="s">
        <v>158</v>
      </c>
      <c r="D365" s="116" t="s">
        <v>9</v>
      </c>
      <c r="E365" s="144"/>
      <c r="F365" s="212"/>
      <c r="G365" s="212"/>
      <c r="L365" s="71" t="s">
        <v>0</v>
      </c>
      <c r="W365" s="71" t="s">
        <v>0</v>
      </c>
    </row>
    <row r="366" spans="3:23" ht="15">
      <c r="C366" s="109" t="s">
        <v>159</v>
      </c>
      <c r="D366" s="116" t="s">
        <v>9</v>
      </c>
      <c r="E366" s="144"/>
      <c r="F366" s="212"/>
      <c r="G366" s="212"/>
      <c r="L366" s="71" t="s">
        <v>0</v>
      </c>
      <c r="W366" s="71" t="s">
        <v>0</v>
      </c>
    </row>
    <row r="367" spans="3:23" ht="15">
      <c r="C367" s="248" t="s">
        <v>291</v>
      </c>
      <c r="D367" s="116" t="s">
        <v>9</v>
      </c>
      <c r="E367" s="144"/>
      <c r="F367" s="212"/>
      <c r="G367" s="212"/>
      <c r="L367" s="71" t="s">
        <v>0</v>
      </c>
      <c r="W367" s="71" t="s">
        <v>0</v>
      </c>
    </row>
    <row r="368" spans="3:23" ht="15">
      <c r="C368" s="109" t="s">
        <v>160</v>
      </c>
      <c r="D368" s="116" t="s">
        <v>9</v>
      </c>
      <c r="E368" s="144"/>
      <c r="F368" s="212"/>
      <c r="G368" s="212"/>
      <c r="L368" s="71" t="s">
        <v>0</v>
      </c>
      <c r="W368" s="71" t="s">
        <v>0</v>
      </c>
    </row>
    <row r="369" spans="3:23" s="51" customFormat="1" ht="15">
      <c r="C369" s="248" t="s">
        <v>292</v>
      </c>
      <c r="D369" s="116" t="s">
        <v>9</v>
      </c>
      <c r="E369" s="144"/>
      <c r="F369" s="212"/>
      <c r="G369" s="212"/>
      <c r="L369" s="71" t="s">
        <v>0</v>
      </c>
      <c r="W369" s="71" t="s">
        <v>0</v>
      </c>
    </row>
    <row r="370" spans="3:23" ht="15">
      <c r="C370" s="109" t="s">
        <v>161</v>
      </c>
      <c r="D370" s="116" t="s">
        <v>9</v>
      </c>
      <c r="E370" s="144"/>
      <c r="F370" s="212"/>
      <c r="G370" s="212"/>
      <c r="L370" s="71" t="s">
        <v>0</v>
      </c>
      <c r="W370" s="71" t="s">
        <v>0</v>
      </c>
    </row>
    <row r="371" spans="3:23" ht="15">
      <c r="C371" s="109" t="s">
        <v>162</v>
      </c>
      <c r="D371" s="116" t="s">
        <v>9</v>
      </c>
      <c r="E371" s="144"/>
      <c r="F371" s="212"/>
      <c r="G371" s="212"/>
      <c r="L371" s="71" t="s">
        <v>0</v>
      </c>
      <c r="W371" s="71" t="s">
        <v>0</v>
      </c>
    </row>
    <row r="372" spans="3:23" ht="15">
      <c r="C372" s="109" t="s">
        <v>163</v>
      </c>
      <c r="D372" s="116" t="s">
        <v>9</v>
      </c>
      <c r="E372" s="144"/>
      <c r="F372" s="212"/>
      <c r="G372" s="212"/>
      <c r="L372" s="71" t="s">
        <v>0</v>
      </c>
      <c r="W372" s="71" t="s">
        <v>0</v>
      </c>
    </row>
    <row r="373" spans="3:23" ht="15">
      <c r="C373" s="109" t="s">
        <v>164</v>
      </c>
      <c r="D373" s="116" t="s">
        <v>9</v>
      </c>
      <c r="E373" s="144"/>
      <c r="F373" s="212"/>
      <c r="G373" s="212"/>
      <c r="L373" s="71" t="s">
        <v>0</v>
      </c>
      <c r="W373" s="71" t="s">
        <v>0</v>
      </c>
    </row>
    <row r="374" spans="3:23" ht="15">
      <c r="C374" s="109" t="s">
        <v>165</v>
      </c>
      <c r="D374" s="116" t="s">
        <v>9</v>
      </c>
      <c r="E374" s="144"/>
      <c r="F374" s="212"/>
      <c r="G374" s="212"/>
      <c r="L374" s="71" t="s">
        <v>0</v>
      </c>
      <c r="W374" s="71" t="s">
        <v>0</v>
      </c>
    </row>
    <row r="375" spans="3:23" s="51" customFormat="1" ht="15">
      <c r="C375" s="248" t="s">
        <v>293</v>
      </c>
      <c r="D375" s="116" t="s">
        <v>9</v>
      </c>
      <c r="E375" s="144"/>
      <c r="F375" s="212"/>
      <c r="G375" s="212"/>
      <c r="L375" s="71" t="s">
        <v>0</v>
      </c>
      <c r="W375" s="71" t="s">
        <v>0</v>
      </c>
    </row>
    <row r="376" spans="3:23" ht="15">
      <c r="C376" s="109" t="s">
        <v>166</v>
      </c>
      <c r="D376" s="116" t="s">
        <v>9</v>
      </c>
      <c r="E376" s="144"/>
      <c r="F376" s="212"/>
      <c r="G376" s="212"/>
      <c r="L376" s="71" t="s">
        <v>0</v>
      </c>
      <c r="W376" s="71" t="s">
        <v>0</v>
      </c>
    </row>
    <row r="377" spans="3:23" ht="15">
      <c r="C377" s="109" t="s">
        <v>167</v>
      </c>
      <c r="D377" s="116" t="s">
        <v>9</v>
      </c>
      <c r="E377" s="144"/>
      <c r="F377" s="212"/>
      <c r="G377" s="212"/>
      <c r="L377" s="71" t="s">
        <v>0</v>
      </c>
      <c r="W377" s="71" t="s">
        <v>0</v>
      </c>
    </row>
    <row r="378" spans="3:23" ht="15">
      <c r="C378" s="109" t="s">
        <v>168</v>
      </c>
      <c r="D378" s="116" t="s">
        <v>9</v>
      </c>
      <c r="E378" s="144"/>
      <c r="F378" s="212"/>
      <c r="G378" s="212"/>
      <c r="L378" s="71" t="s">
        <v>0</v>
      </c>
      <c r="W378" s="71" t="s">
        <v>0</v>
      </c>
    </row>
    <row r="379" spans="3:23" ht="15">
      <c r="C379" s="105" t="s">
        <v>169</v>
      </c>
      <c r="D379" s="116" t="s">
        <v>9</v>
      </c>
      <c r="E379" s="144"/>
      <c r="F379" s="212"/>
      <c r="G379" s="212"/>
      <c r="L379" s="71" t="s">
        <v>0</v>
      </c>
      <c r="W379" s="71" t="s">
        <v>0</v>
      </c>
    </row>
    <row r="380" spans="3:23" ht="15">
      <c r="C380" s="105" t="s">
        <v>170</v>
      </c>
      <c r="D380" s="116" t="s">
        <v>9</v>
      </c>
      <c r="E380" s="144"/>
      <c r="F380" s="212"/>
      <c r="G380" s="212"/>
      <c r="L380" s="71" t="s">
        <v>0</v>
      </c>
      <c r="W380" s="71" t="s">
        <v>0</v>
      </c>
    </row>
    <row r="381" spans="3:23" ht="15">
      <c r="C381" s="105" t="s">
        <v>171</v>
      </c>
      <c r="D381" s="116" t="s">
        <v>9</v>
      </c>
      <c r="E381" s="144"/>
      <c r="F381" s="212"/>
      <c r="G381" s="212"/>
      <c r="L381" s="71" t="s">
        <v>0</v>
      </c>
      <c r="W381" s="71" t="s">
        <v>0</v>
      </c>
    </row>
    <row r="382" spans="3:23" ht="15">
      <c r="C382" s="105" t="s">
        <v>172</v>
      </c>
      <c r="D382" s="116" t="s">
        <v>9</v>
      </c>
      <c r="E382" s="144"/>
      <c r="F382" s="212"/>
      <c r="G382" s="212"/>
      <c r="L382" s="71" t="s">
        <v>0</v>
      </c>
      <c r="W382" s="71" t="s">
        <v>0</v>
      </c>
    </row>
    <row r="383" spans="3:23" ht="15">
      <c r="C383" s="20" t="s">
        <v>536</v>
      </c>
      <c r="D383" s="17"/>
      <c r="E383" s="144"/>
      <c r="F383" s="212"/>
      <c r="G383" s="212"/>
      <c r="L383" s="71" t="s">
        <v>0</v>
      </c>
      <c r="W383" s="71" t="s">
        <v>0</v>
      </c>
    </row>
    <row r="384" spans="3:23" ht="15">
      <c r="C384" s="99" t="s">
        <v>174</v>
      </c>
      <c r="D384" s="116" t="s">
        <v>9</v>
      </c>
      <c r="E384" s="144"/>
      <c r="F384" s="212"/>
      <c r="G384" s="212"/>
      <c r="L384" s="71" t="s">
        <v>0</v>
      </c>
      <c r="W384" s="71" t="s">
        <v>0</v>
      </c>
    </row>
    <row r="385" spans="3:23" ht="15" customHeight="1">
      <c r="C385" s="101" t="s">
        <v>175</v>
      </c>
      <c r="D385" s="118" t="s">
        <v>9</v>
      </c>
      <c r="E385" s="144"/>
      <c r="F385" s="212"/>
      <c r="G385" s="212"/>
      <c r="L385" s="71" t="s">
        <v>0</v>
      </c>
      <c r="W385" s="71" t="s">
        <v>0</v>
      </c>
    </row>
    <row r="386" spans="3:23" s="51" customFormat="1" ht="15" customHeight="1">
      <c r="C386" s="20" t="s">
        <v>535</v>
      </c>
      <c r="D386" s="17"/>
      <c r="E386" s="309"/>
      <c r="F386" s="212"/>
      <c r="G386" s="212"/>
      <c r="L386" s="71" t="s">
        <v>0</v>
      </c>
      <c r="W386" s="71" t="s">
        <v>0</v>
      </c>
    </row>
    <row r="387" spans="3:23" s="51" customFormat="1" ht="15" customHeight="1">
      <c r="C387" s="410" t="s">
        <v>537</v>
      </c>
      <c r="D387" s="419" t="s">
        <v>9</v>
      </c>
      <c r="E387" s="309"/>
      <c r="F387" s="212"/>
      <c r="G387" s="212"/>
      <c r="L387" s="71" t="s">
        <v>0</v>
      </c>
      <c r="W387" s="71" t="s">
        <v>0</v>
      </c>
    </row>
    <row r="388" spans="3:23" s="51" customFormat="1" ht="4.5" customHeight="1">
      <c r="C388" s="144"/>
      <c r="D388" s="212"/>
      <c r="E388" s="144"/>
      <c r="F388" s="212"/>
      <c r="G388" s="212"/>
      <c r="L388" s="71" t="s">
        <v>0</v>
      </c>
      <c r="W388" s="71" t="s">
        <v>0</v>
      </c>
    </row>
    <row r="389" spans="2:23" ht="30">
      <c r="B389" s="209"/>
      <c r="C389" s="12" t="s">
        <v>514</v>
      </c>
      <c r="D389" s="17"/>
      <c r="E389" s="17" t="s">
        <v>128</v>
      </c>
      <c r="F389" s="212"/>
      <c r="G389" s="212"/>
      <c r="L389" s="71" t="s">
        <v>0</v>
      </c>
      <c r="W389" s="71" t="s">
        <v>0</v>
      </c>
    </row>
    <row r="390" spans="3:23" ht="15">
      <c r="C390" s="96" t="s">
        <v>176</v>
      </c>
      <c r="D390" s="217"/>
      <c r="E390" s="130" t="s">
        <v>9</v>
      </c>
      <c r="F390" s="212"/>
      <c r="G390" s="212"/>
      <c r="L390" s="71" t="s">
        <v>0</v>
      </c>
      <c r="W390" s="71" t="s">
        <v>0</v>
      </c>
    </row>
    <row r="391" spans="3:23" ht="15">
      <c r="C391" s="99" t="s">
        <v>177</v>
      </c>
      <c r="D391" s="218"/>
      <c r="E391" s="116" t="s">
        <v>9</v>
      </c>
      <c r="F391" s="212"/>
      <c r="G391" s="212"/>
      <c r="L391" s="71" t="s">
        <v>0</v>
      </c>
      <c r="W391" s="71" t="s">
        <v>0</v>
      </c>
    </row>
    <row r="392" spans="3:23" ht="15">
      <c r="C392" s="99" t="s">
        <v>178</v>
      </c>
      <c r="D392" s="218"/>
      <c r="E392" s="116" t="s">
        <v>9</v>
      </c>
      <c r="F392" s="212"/>
      <c r="G392" s="212"/>
      <c r="L392" s="71" t="s">
        <v>0</v>
      </c>
      <c r="W392" s="71" t="s">
        <v>0</v>
      </c>
    </row>
    <row r="393" spans="3:23" ht="15">
      <c r="C393" s="101" t="s">
        <v>76</v>
      </c>
      <c r="D393" s="219"/>
      <c r="E393" s="118" t="s">
        <v>9</v>
      </c>
      <c r="F393" s="212"/>
      <c r="G393" s="212"/>
      <c r="L393" s="71" t="s">
        <v>0</v>
      </c>
      <c r="W393" s="71" t="s">
        <v>0</v>
      </c>
    </row>
    <row r="394" spans="3:23" ht="4.5" customHeight="1">
      <c r="C394" s="144"/>
      <c r="D394" s="212"/>
      <c r="E394" s="144"/>
      <c r="F394" s="212"/>
      <c r="G394" s="212"/>
      <c r="L394" s="71" t="s">
        <v>0</v>
      </c>
      <c r="W394" s="71" t="s">
        <v>0</v>
      </c>
    </row>
    <row r="395" spans="2:23" ht="149.25">
      <c r="B395" s="209"/>
      <c r="C395" s="24" t="str">
        <f>CONCATENATE("56. Please provide the value of the IORP’s corporate bond portfolio at the end of 2016 using the breakdown to assess the impact of the corporate bond stresses in the adverse scenario (in "&amp;Participant!D14&amp;" of "&amp;Participant!D13&amp;").","If (part of) stresses were evaluated using the simplifications provided (aggregates distinguishing total aggregate, investment grade and high yield)"," then IORPs do not have to provide the value for these corporate bonds broken down by rating, but only for the relevant aggregates.")</f>
        <v>56. Please provide the value of the IORP’s corporate bond portfolio at the end of 2016 using the breakdown to assess the impact of the corporate bond stresses in the adverse scenario (in - of -).If (part of) stresses were evaluated using the simplifications provided (aggregates distinguishing total aggregate, investment grade and high yield) then IORPs do not have to provide the value for these corporate bonds broken down by rating, but only for the relevant aggregates.</v>
      </c>
      <c r="D395" s="23" t="s">
        <v>445</v>
      </c>
      <c r="E395" s="23" t="s">
        <v>184</v>
      </c>
      <c r="F395" s="345" t="s">
        <v>185</v>
      </c>
      <c r="G395" s="23" t="s">
        <v>446</v>
      </c>
      <c r="H395"/>
      <c r="I395" s="25"/>
      <c r="J395" s="25"/>
      <c r="K395" s="25"/>
      <c r="L395" s="71" t="s">
        <v>0</v>
      </c>
      <c r="W395" s="71" t="s">
        <v>0</v>
      </c>
    </row>
    <row r="396" spans="2:23" ht="15">
      <c r="B396" s="209"/>
      <c r="C396" s="21" t="s">
        <v>24</v>
      </c>
      <c r="D396" s="176">
        <f>SUM(D398:D404)+SUM(D406:D408)</f>
        <v>0</v>
      </c>
      <c r="E396" s="176">
        <f>SUM(E398:E404)+SUM(E406:E408)</f>
        <v>0</v>
      </c>
      <c r="F396" s="346">
        <f>SUM(F398:F404)+SUM(F406:F408)</f>
        <v>0</v>
      </c>
      <c r="G396" s="181">
        <f>SUM(G398:G404)+SUM(G406:G408)</f>
        <v>0</v>
      </c>
      <c r="H396" s="420">
        <f>IF(OR(SUM($D$396:$G$396)&lt;'Baseline_&amp;_Adverse_Scenario'!$D$32-0.5,SUM($D$396:$G$396)&gt;'Baseline_&amp;_Adverse_Scenario'!$D$32+0.5),"ALERT: Sum of totals (D396..G396) deviates from value","")</f>
      </c>
      <c r="I396" s="220"/>
      <c r="J396" s="220"/>
      <c r="K396" s="220"/>
      <c r="L396" s="71" t="s">
        <v>0</v>
      </c>
      <c r="W396" s="71" t="s">
        <v>0</v>
      </c>
    </row>
    <row r="397" spans="2:23" ht="15">
      <c r="B397" s="209"/>
      <c r="C397" s="20" t="s">
        <v>173</v>
      </c>
      <c r="D397" s="18"/>
      <c r="E397" s="18"/>
      <c r="F397" s="18"/>
      <c r="G397" s="3"/>
      <c r="H397" s="420">
        <f>IF(OR(SUM($D$396:$G$396)&lt;'Baseline_&amp;_Adverse_Scenario'!$D$32-0.5,SUM($D$396:$G$396)&gt;'Baseline_&amp;_Adverse_Scenario'!$D$32+0.5),"corporate bonds in [Baseline_&amp;_Adverse_Scenario] sheet","")</f>
      </c>
      <c r="I397" s="22"/>
      <c r="J397" s="22"/>
      <c r="K397" s="22"/>
      <c r="L397" s="71" t="s">
        <v>0</v>
      </c>
      <c r="W397" s="71" t="s">
        <v>0</v>
      </c>
    </row>
    <row r="398" spans="3:23" ht="15">
      <c r="C398" s="109" t="s">
        <v>179</v>
      </c>
      <c r="D398" s="116" t="s">
        <v>9</v>
      </c>
      <c r="E398" s="116" t="s">
        <v>9</v>
      </c>
      <c r="F398" s="279" t="s">
        <v>9</v>
      </c>
      <c r="G398" s="331" t="s">
        <v>9</v>
      </c>
      <c r="H398"/>
      <c r="I398" s="212"/>
      <c r="J398" s="212"/>
      <c r="K398" s="212"/>
      <c r="L398" s="71" t="s">
        <v>0</v>
      </c>
      <c r="W398" s="71" t="s">
        <v>0</v>
      </c>
    </row>
    <row r="399" spans="3:23" ht="15">
      <c r="C399" s="109" t="s">
        <v>180</v>
      </c>
      <c r="D399" s="116" t="s">
        <v>9</v>
      </c>
      <c r="E399" s="116" t="s">
        <v>9</v>
      </c>
      <c r="F399" s="279" t="s">
        <v>9</v>
      </c>
      <c r="G399" s="331" t="s">
        <v>9</v>
      </c>
      <c r="H399"/>
      <c r="I399" s="212"/>
      <c r="J399" s="212"/>
      <c r="K399" s="212"/>
      <c r="L399" s="71" t="s">
        <v>0</v>
      </c>
      <c r="W399" s="71" t="s">
        <v>0</v>
      </c>
    </row>
    <row r="400" spans="3:23" ht="15">
      <c r="C400" s="109" t="s">
        <v>181</v>
      </c>
      <c r="D400" s="116" t="s">
        <v>9</v>
      </c>
      <c r="E400" s="116" t="s">
        <v>9</v>
      </c>
      <c r="F400" s="279" t="s">
        <v>9</v>
      </c>
      <c r="G400" s="418" t="s">
        <v>9</v>
      </c>
      <c r="H400"/>
      <c r="I400" s="212"/>
      <c r="J400" s="212"/>
      <c r="K400" s="212"/>
      <c r="L400" s="71" t="s">
        <v>0</v>
      </c>
      <c r="W400" s="71" t="s">
        <v>0</v>
      </c>
    </row>
    <row r="401" spans="3:23" ht="15">
      <c r="C401" s="216" t="s">
        <v>182</v>
      </c>
      <c r="D401" s="418" t="s">
        <v>9</v>
      </c>
      <c r="E401" s="116" t="s">
        <v>9</v>
      </c>
      <c r="F401" s="279" t="s">
        <v>9</v>
      </c>
      <c r="G401" s="418" t="s">
        <v>9</v>
      </c>
      <c r="H401"/>
      <c r="I401" s="212"/>
      <c r="J401" s="212"/>
      <c r="K401" s="212"/>
      <c r="L401" s="71" t="s">
        <v>0</v>
      </c>
      <c r="W401" s="71" t="s">
        <v>0</v>
      </c>
    </row>
    <row r="402" spans="3:23" ht="15">
      <c r="C402" s="109" t="s">
        <v>183</v>
      </c>
      <c r="D402" s="116" t="s">
        <v>9</v>
      </c>
      <c r="E402" s="418" t="s">
        <v>9</v>
      </c>
      <c r="F402" s="279" t="s">
        <v>9</v>
      </c>
      <c r="G402" s="331" t="s">
        <v>9</v>
      </c>
      <c r="H402"/>
      <c r="I402" s="212"/>
      <c r="J402" s="212"/>
      <c r="K402" s="212"/>
      <c r="L402" s="71" t="s">
        <v>0</v>
      </c>
      <c r="W402" s="71" t="s">
        <v>0</v>
      </c>
    </row>
    <row r="403" spans="3:23" ht="15">
      <c r="C403" s="343" t="s">
        <v>443</v>
      </c>
      <c r="D403" s="116" t="s">
        <v>9</v>
      </c>
      <c r="E403" s="418" t="s">
        <v>9</v>
      </c>
      <c r="F403" s="279" t="s">
        <v>9</v>
      </c>
      <c r="G403" s="331" t="s">
        <v>9</v>
      </c>
      <c r="H403"/>
      <c r="I403" s="212"/>
      <c r="J403" s="212"/>
      <c r="K403" s="212"/>
      <c r="L403" s="71" t="s">
        <v>0</v>
      </c>
      <c r="W403" s="71" t="s">
        <v>0</v>
      </c>
    </row>
    <row r="404" spans="3:23" ht="15">
      <c r="C404" s="344" t="s">
        <v>444</v>
      </c>
      <c r="D404" s="116" t="s">
        <v>9</v>
      </c>
      <c r="E404" s="116" t="s">
        <v>9</v>
      </c>
      <c r="F404" s="279" t="s">
        <v>9</v>
      </c>
      <c r="G404" s="331" t="s">
        <v>9</v>
      </c>
      <c r="H404"/>
      <c r="I404" s="212"/>
      <c r="J404" s="212"/>
      <c r="K404" s="212"/>
      <c r="L404" s="71" t="s">
        <v>0</v>
      </c>
      <c r="W404" s="71" t="s">
        <v>0</v>
      </c>
    </row>
    <row r="405" spans="3:23" ht="15">
      <c r="C405" s="286" t="s">
        <v>542</v>
      </c>
      <c r="D405" s="18"/>
      <c r="E405" s="18"/>
      <c r="F405" s="18"/>
      <c r="G405" s="3"/>
      <c r="H405"/>
      <c r="I405" s="22"/>
      <c r="J405" s="22"/>
      <c r="K405" s="22"/>
      <c r="L405" s="71" t="s">
        <v>0</v>
      </c>
      <c r="W405" s="71" t="s">
        <v>0</v>
      </c>
    </row>
    <row r="406" spans="3:23" ht="15">
      <c r="C406" s="167" t="s">
        <v>186</v>
      </c>
      <c r="D406" s="231" t="s">
        <v>9</v>
      </c>
      <c r="E406" s="116" t="s">
        <v>9</v>
      </c>
      <c r="F406" s="279" t="s">
        <v>9</v>
      </c>
      <c r="G406" s="331" t="s">
        <v>9</v>
      </c>
      <c r="H406"/>
      <c r="I406" s="212"/>
      <c r="J406" s="212"/>
      <c r="K406" s="212"/>
      <c r="L406" s="71" t="s">
        <v>0</v>
      </c>
      <c r="W406" s="71" t="s">
        <v>0</v>
      </c>
    </row>
    <row r="407" spans="3:23" ht="15">
      <c r="C407" s="168" t="s">
        <v>187</v>
      </c>
      <c r="D407" s="231" t="s">
        <v>9</v>
      </c>
      <c r="E407" s="116" t="s">
        <v>9</v>
      </c>
      <c r="F407" s="279" t="s">
        <v>9</v>
      </c>
      <c r="G407" s="418" t="s">
        <v>9</v>
      </c>
      <c r="H407"/>
      <c r="I407" s="212"/>
      <c r="J407" s="212"/>
      <c r="K407" s="212"/>
      <c r="L407" s="71" t="s">
        <v>0</v>
      </c>
      <c r="W407" s="71" t="s">
        <v>0</v>
      </c>
    </row>
    <row r="408" spans="3:23" ht="15">
      <c r="C408" s="287" t="s">
        <v>24</v>
      </c>
      <c r="D408" s="235" t="s">
        <v>9</v>
      </c>
      <c r="E408" s="118" t="s">
        <v>9</v>
      </c>
      <c r="F408" s="280" t="s">
        <v>9</v>
      </c>
      <c r="G408" s="353" t="s">
        <v>9</v>
      </c>
      <c r="H408"/>
      <c r="I408" s="212"/>
      <c r="J408" s="212"/>
      <c r="K408" s="212"/>
      <c r="L408" s="71" t="s">
        <v>0</v>
      </c>
      <c r="W408" s="71" t="s">
        <v>0</v>
      </c>
    </row>
    <row r="409" spans="12:23" ht="4.5" customHeight="1">
      <c r="L409" s="71" t="s">
        <v>0</v>
      </c>
      <c r="W409" s="71" t="s">
        <v>0</v>
      </c>
    </row>
    <row r="410" spans="3:23" s="51" customFormat="1" ht="45" customHeight="1">
      <c r="C410" s="454" t="s">
        <v>515</v>
      </c>
      <c r="D410" s="456"/>
      <c r="E410" s="17" t="s">
        <v>128</v>
      </c>
      <c r="L410" s="71" t="s">
        <v>0</v>
      </c>
      <c r="W410" s="71" t="s">
        <v>0</v>
      </c>
    </row>
    <row r="411" spans="3:23" s="51" customFormat="1" ht="15" customHeight="1">
      <c r="C411" s="355" t="s">
        <v>490</v>
      </c>
      <c r="D411" s="217"/>
      <c r="E411" s="352" t="s">
        <v>9</v>
      </c>
      <c r="L411" s="71" t="s">
        <v>0</v>
      </c>
      <c r="W411" s="71" t="s">
        <v>0</v>
      </c>
    </row>
    <row r="412" spans="3:23" s="51" customFormat="1" ht="15" customHeight="1">
      <c r="C412" s="356" t="s">
        <v>491</v>
      </c>
      <c r="D412" s="218"/>
      <c r="E412" s="339" t="s">
        <v>9</v>
      </c>
      <c r="L412" s="71" t="s">
        <v>0</v>
      </c>
      <c r="W412" s="71" t="s">
        <v>0</v>
      </c>
    </row>
    <row r="413" spans="3:23" s="51" customFormat="1" ht="15" customHeight="1">
      <c r="C413" s="292" t="s">
        <v>178</v>
      </c>
      <c r="D413" s="218"/>
      <c r="E413" s="339" t="s">
        <v>9</v>
      </c>
      <c r="L413" s="71" t="s">
        <v>0</v>
      </c>
      <c r="W413" s="71" t="s">
        <v>0</v>
      </c>
    </row>
    <row r="414" spans="3:23" s="51" customFormat="1" ht="15" customHeight="1">
      <c r="C414" s="293" t="s">
        <v>76</v>
      </c>
      <c r="D414" s="219"/>
      <c r="E414" s="353" t="s">
        <v>9</v>
      </c>
      <c r="L414" s="71" t="s">
        <v>0</v>
      </c>
      <c r="W414" s="71" t="s">
        <v>0</v>
      </c>
    </row>
    <row r="415" spans="12:23" s="51" customFormat="1" ht="4.5" customHeight="1">
      <c r="L415" s="71" t="s">
        <v>0</v>
      </c>
      <c r="W415" s="71" t="s">
        <v>0</v>
      </c>
    </row>
    <row r="416" spans="12:23" s="51" customFormat="1" ht="15" customHeight="1">
      <c r="L416" s="71" t="s">
        <v>0</v>
      </c>
      <c r="W416" s="71" t="s">
        <v>0</v>
      </c>
    </row>
    <row r="417" spans="12:23" ht="4.5" customHeight="1">
      <c r="L417" s="71" t="s">
        <v>0</v>
      </c>
      <c r="W417" s="71" t="s">
        <v>0</v>
      </c>
    </row>
    <row r="418" spans="1:23" ht="15">
      <c r="A418" s="71" t="s">
        <v>0</v>
      </c>
      <c r="B418" s="71" t="s">
        <v>0</v>
      </c>
      <c r="C418" s="71" t="s">
        <v>0</v>
      </c>
      <c r="D418" s="71" t="s">
        <v>0</v>
      </c>
      <c r="E418" s="71" t="s">
        <v>0</v>
      </c>
      <c r="F418" s="71" t="s">
        <v>0</v>
      </c>
      <c r="G418" s="71" t="s">
        <v>0</v>
      </c>
      <c r="H418" s="71" t="s">
        <v>0</v>
      </c>
      <c r="I418" s="71" t="s">
        <v>0</v>
      </c>
      <c r="J418" s="71" t="s">
        <v>0</v>
      </c>
      <c r="K418" s="71" t="s">
        <v>0</v>
      </c>
      <c r="L418" s="71" t="s">
        <v>0</v>
      </c>
      <c r="M418" s="71" t="s">
        <v>0</v>
      </c>
      <c r="N418" s="71" t="s">
        <v>0</v>
      </c>
      <c r="O418" s="71" t="s">
        <v>0</v>
      </c>
      <c r="P418" s="71" t="s">
        <v>0</v>
      </c>
      <c r="Q418" s="71" t="s">
        <v>0</v>
      </c>
      <c r="R418" s="71" t="s">
        <v>0</v>
      </c>
      <c r="S418" s="71" t="s">
        <v>0</v>
      </c>
      <c r="T418" s="71" t="s">
        <v>0</v>
      </c>
      <c r="U418" s="71" t="s">
        <v>0</v>
      </c>
      <c r="V418" s="71" t="s">
        <v>0</v>
      </c>
      <c r="W418" s="71" t="s">
        <v>0</v>
      </c>
    </row>
  </sheetData>
  <sheetProtection formatCells="0"/>
  <mergeCells count="72">
    <mergeCell ref="C410:D410"/>
    <mergeCell ref="C190:E190"/>
    <mergeCell ref="C48:E48"/>
    <mergeCell ref="C49:E49"/>
    <mergeCell ref="C162:E162"/>
    <mergeCell ref="C164:E164"/>
    <mergeCell ref="C67:E67"/>
    <mergeCell ref="C79:E79"/>
    <mergeCell ref="C95:E95"/>
    <mergeCell ref="C97:E97"/>
    <mergeCell ref="C174:E174"/>
    <mergeCell ref="C175:E175"/>
    <mergeCell ref="C168:E168"/>
    <mergeCell ref="C103:E103"/>
    <mergeCell ref="C120:E120"/>
    <mergeCell ref="C165:E165"/>
    <mergeCell ref="C99:E99"/>
    <mergeCell ref="C101:E101"/>
    <mergeCell ref="C43:E43"/>
    <mergeCell ref="C44:E44"/>
    <mergeCell ref="C45:E45"/>
    <mergeCell ref="C46:E46"/>
    <mergeCell ref="C47:E47"/>
    <mergeCell ref="C90:E90"/>
    <mergeCell ref="C59:E59"/>
    <mergeCell ref="C36:E36"/>
    <mergeCell ref="C37:E37"/>
    <mergeCell ref="C38:E38"/>
    <mergeCell ref="C39:E39"/>
    <mergeCell ref="C40:E40"/>
    <mergeCell ref="C41:E41"/>
    <mergeCell ref="C29:E29"/>
    <mergeCell ref="C31:E31"/>
    <mergeCell ref="C30:E30"/>
    <mergeCell ref="C33:E33"/>
    <mergeCell ref="C166:E166"/>
    <mergeCell ref="C72:E72"/>
    <mergeCell ref="C75:E75"/>
    <mergeCell ref="C77:E77"/>
    <mergeCell ref="C85:E85"/>
    <mergeCell ref="C35:E35"/>
    <mergeCell ref="C21:E21"/>
    <mergeCell ref="C23:E23"/>
    <mergeCell ref="C24:E24"/>
    <mergeCell ref="C25:E25"/>
    <mergeCell ref="C27:E27"/>
    <mergeCell ref="C28:E28"/>
    <mergeCell ref="C13:J13"/>
    <mergeCell ref="C15:E15"/>
    <mergeCell ref="C17:E17"/>
    <mergeCell ref="C18:E18"/>
    <mergeCell ref="C19:E19"/>
    <mergeCell ref="C334:E334"/>
    <mergeCell ref="C177:E177"/>
    <mergeCell ref="C182:E182"/>
    <mergeCell ref="C192:E192"/>
    <mergeCell ref="C20:E20"/>
    <mergeCell ref="C336:E336"/>
    <mergeCell ref="C288:E288"/>
    <mergeCell ref="C291:E291"/>
    <mergeCell ref="C297:E297"/>
    <mergeCell ref="C299:E299"/>
    <mergeCell ref="C301:E301"/>
    <mergeCell ref="C328:E328"/>
    <mergeCell ref="C253:E253"/>
    <mergeCell ref="C273:E273"/>
    <mergeCell ref="C108:E108"/>
    <mergeCell ref="C110:E110"/>
    <mergeCell ref="C132:E132"/>
    <mergeCell ref="C134:E134"/>
    <mergeCell ref="C142:E142"/>
    <mergeCell ref="C148:E148"/>
  </mergeCells>
  <dataValidations count="11">
    <dataValidation type="list" allowBlank="1" showInputMessage="1" showErrorMessage="1" sqref="F345:F348 E411:E414 F135:F140 F91:F93 F68:F70 F60:F66 F44:F49 F36:F41 F28:F33 F24:I25 F341:F343 F337:F339 F335 E390:E393 F319:F321 F235:F237 F231:F233 F333 F193:F202 F183:F188 F178:F180 F149:F152 F104:F106 F121:F130 F165:F166 F323:F325 F327 F329:F331 F204:F205 F218">
      <formula1>$M$1:$M$2</formula1>
    </dataValidation>
    <dataValidation type="list" allowBlank="1" showInputMessage="1" showErrorMessage="1" sqref="F75 F15 F336 F334 F301 F299 F297 F291 F288 F253 F108 F99 F95 F85 F77:F78 F328">
      <formula1>$N$1:$N$3</formula1>
    </dataValidation>
    <dataValidation type="list" allowBlank="1" showInputMessage="1" showErrorMessage="1" sqref="F132">
      <formula1>$O$1:$O$5</formula1>
    </dataValidation>
    <dataValidation type="list" allowBlank="1" showInputMessage="1" showErrorMessage="1" sqref="D221:D224 D226:D230">
      <formula1>$P$1:$P$4</formula1>
    </dataValidation>
    <dataValidation type="list" allowBlank="1" showInputMessage="1" showErrorMessage="1" sqref="E221:E224 E226:E230">
      <formula1>$Q$1:$Q$6</formula1>
    </dataValidation>
    <dataValidation type="list" allowBlank="1" showInputMessage="1" showErrorMessage="1" sqref="F221:F224 F226:F230">
      <formula1>$R$1:$R$4</formula1>
    </dataValidation>
    <dataValidation type="list" allowBlank="1" showInputMessage="1" showErrorMessage="1" sqref="D252 D254">
      <formula1>$S$1:$S$3</formula1>
    </dataValidation>
    <dataValidation type="list" allowBlank="1" showInputMessage="1" showErrorMessage="1" sqref="F273">
      <formula1>$T$1:$T$4</formula1>
    </dataValidation>
    <dataValidation type="list" allowBlank="1" showInputMessage="1" showErrorMessage="1" sqref="F162">
      <formula1>$U$1:$U$8</formula1>
    </dataValidation>
    <dataValidation type="list" allowBlank="1" showInputMessage="1" showErrorMessage="1" sqref="F168">
      <formula1>$V$1:$V$7</formula1>
    </dataValidation>
    <dataValidation type="list" allowBlank="1" showInputMessage="1" showErrorMessage="1" sqref="D241:D251 D276:D286">
      <formula1>$S$1:$S$4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C15" sqref="C15"/>
    </sheetView>
  </sheetViews>
  <sheetFormatPr defaultColWidth="9.140625" defaultRowHeight="15"/>
  <cols>
    <col min="1" max="1" width="10.7109375" style="33" customWidth="1"/>
    <col min="2" max="2" width="30.00390625" style="33" bestFit="1" customWidth="1"/>
    <col min="3" max="4" width="10.7109375" style="33" customWidth="1"/>
    <col min="5" max="16384" width="9.140625" style="33" customWidth="1"/>
  </cols>
  <sheetData>
    <row r="1" spans="1:4" ht="15">
      <c r="A1" s="240" t="s">
        <v>220</v>
      </c>
      <c r="B1" s="240" t="s">
        <v>2</v>
      </c>
      <c r="C1" s="237" t="s">
        <v>221</v>
      </c>
      <c r="D1" s="239" t="s">
        <v>222</v>
      </c>
    </row>
    <row r="2" spans="1:4" ht="15">
      <c r="A2" s="33" t="s">
        <v>288</v>
      </c>
      <c r="B2" s="241" t="s">
        <v>398</v>
      </c>
      <c r="C2" s="237">
        <f>IF(D2="","OK","")</f>
      </c>
      <c r="D2" s="238" t="str">
        <f>'Baseline_&amp;_Adverse_Scenario'!C8</f>
        <v>ALERT: Select country and reporting unit in [Participant] sheet</v>
      </c>
    </row>
    <row r="3" spans="1:4" ht="15">
      <c r="A3" s="33" t="s">
        <v>543</v>
      </c>
      <c r="B3" s="241" t="s">
        <v>412</v>
      </c>
      <c r="C3" s="237">
        <f>IF(D3="","OK","")</f>
      </c>
      <c r="D3" s="238" t="str">
        <f>CF_Analysis!F4</f>
        <v>ALERT: Select country and reporting unit in [Participant] sheet</v>
      </c>
    </row>
    <row r="4" spans="1:4" ht="15">
      <c r="A4" s="33" t="s">
        <v>544</v>
      </c>
      <c r="B4" s="241" t="s">
        <v>413</v>
      </c>
      <c r="C4" s="237">
        <f>IF(D4="","OK","")</f>
      </c>
      <c r="D4" s="238" t="str">
        <f>QQ_Questionnaire!E4</f>
        <v>ALERT: Select country and reporting unit in [Participant] sheet</v>
      </c>
    </row>
    <row r="5" spans="1:4" ht="15">
      <c r="A5" s="33" t="s">
        <v>551</v>
      </c>
      <c r="B5" s="241" t="s">
        <v>398</v>
      </c>
      <c r="C5" s="237" t="str">
        <f>IF(D5="","OK","")</f>
        <v>OK</v>
      </c>
      <c r="D5" s="238">
        <f>'Baseline_&amp;_Adverse_Scenario'!E89</f>
      </c>
    </row>
    <row r="6" spans="1:4" ht="15">
      <c r="A6" s="33" t="s">
        <v>552</v>
      </c>
      <c r="B6" s="241" t="s">
        <v>398</v>
      </c>
      <c r="C6" s="237" t="str">
        <f>IF(D6="","OK","")</f>
        <v>OK</v>
      </c>
      <c r="D6" s="238">
        <f>'Baseline_&amp;_Adverse_Scenario'!G89</f>
      </c>
    </row>
    <row r="7" spans="1:4" ht="15">
      <c r="A7" s="33" t="s">
        <v>545</v>
      </c>
      <c r="B7" s="241" t="s">
        <v>398</v>
      </c>
      <c r="C7" s="237" t="str">
        <f aca="true" t="shared" si="0" ref="C7:C15">IF(D7="","OK","")</f>
        <v>OK</v>
      </c>
      <c r="D7" s="238">
        <f>'Baseline_&amp;_Adverse_Scenario'!E137</f>
      </c>
    </row>
    <row r="8" spans="1:4" ht="15">
      <c r="A8" s="33" t="s">
        <v>546</v>
      </c>
      <c r="B8" s="241" t="s">
        <v>398</v>
      </c>
      <c r="C8" s="237" t="str">
        <f t="shared" si="0"/>
        <v>OK</v>
      </c>
      <c r="D8" s="238">
        <f>'Baseline_&amp;_Adverse_Scenario'!E140</f>
      </c>
    </row>
    <row r="9" spans="1:4" ht="15">
      <c r="A9" s="33" t="s">
        <v>547</v>
      </c>
      <c r="B9" s="241" t="s">
        <v>398</v>
      </c>
      <c r="C9" s="237" t="str">
        <f t="shared" si="0"/>
        <v>OK</v>
      </c>
      <c r="D9" s="238">
        <f>'Baseline_&amp;_Adverse_Scenario'!E141</f>
      </c>
    </row>
    <row r="10" spans="1:4" ht="15">
      <c r="A10" s="33" t="s">
        <v>548</v>
      </c>
      <c r="B10" s="241" t="s">
        <v>398</v>
      </c>
      <c r="C10" s="237" t="str">
        <f t="shared" si="0"/>
        <v>OK</v>
      </c>
      <c r="D10" s="238">
        <f>'Baseline_&amp;_Adverse_Scenario'!G137</f>
      </c>
    </row>
    <row r="11" spans="1:4" ht="15">
      <c r="A11" s="33" t="s">
        <v>549</v>
      </c>
      <c r="B11" s="241" t="s">
        <v>398</v>
      </c>
      <c r="C11" s="237" t="str">
        <f t="shared" si="0"/>
        <v>OK</v>
      </c>
      <c r="D11" s="238">
        <f>'Baseline_&amp;_Adverse_Scenario'!G140</f>
      </c>
    </row>
    <row r="12" spans="1:4" ht="15">
      <c r="A12" s="33" t="s">
        <v>550</v>
      </c>
      <c r="B12" s="241" t="s">
        <v>398</v>
      </c>
      <c r="C12" s="237" t="str">
        <f t="shared" si="0"/>
        <v>OK</v>
      </c>
      <c r="D12" s="238">
        <f>'Baseline_&amp;_Adverse_Scenario'!G141</f>
      </c>
    </row>
    <row r="13" spans="1:4" ht="15">
      <c r="A13" s="33" t="s">
        <v>553</v>
      </c>
      <c r="B13" s="241" t="s">
        <v>413</v>
      </c>
      <c r="C13" s="237" t="str">
        <f t="shared" si="0"/>
        <v>OK</v>
      </c>
      <c r="D13" s="238">
        <f>QQ_Questionnaire!E351</f>
      </c>
    </row>
    <row r="14" spans="1:4" ht="15">
      <c r="A14" s="33" t="s">
        <v>554</v>
      </c>
      <c r="B14" s="241" t="s">
        <v>413</v>
      </c>
      <c r="C14" s="237" t="str">
        <f t="shared" si="0"/>
        <v>OK</v>
      </c>
      <c r="D14" s="238">
        <f>QQ_Questionnaire!H396</f>
      </c>
    </row>
    <row r="15" spans="1:4" ht="15">
      <c r="A15" s="33" t="s">
        <v>555</v>
      </c>
      <c r="B15" s="241" t="s">
        <v>413</v>
      </c>
      <c r="C15" s="237" t="str">
        <f t="shared" si="0"/>
        <v>OK</v>
      </c>
      <c r="D15" s="238">
        <f>QQ_Questionnaire!H397</f>
      </c>
    </row>
    <row r="19" ht="15">
      <c r="D19" s="242"/>
    </row>
    <row r="20" ht="15">
      <c r="D20" s="242"/>
    </row>
    <row r="21" ht="15">
      <c r="D21" s="242"/>
    </row>
    <row r="22" ht="15">
      <c r="D22" s="242"/>
    </row>
    <row r="23" ht="15">
      <c r="D23" s="242"/>
    </row>
    <row r="24" ht="15">
      <c r="D24" s="2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spreadsheet QA and DB ST</dc:title>
  <dc:subject/>
  <dc:creator/>
  <cp:keywords/>
  <dc:description/>
  <cp:lastModifiedBy/>
  <dcterms:created xsi:type="dcterms:W3CDTF">2006-09-16T00:00:00Z</dcterms:created>
  <dcterms:modified xsi:type="dcterms:W3CDTF">2017-05-17T20:16:49Z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0x010100C13EA9BA89CCAE4A913FCEC962787170</vt:lpwstr>
  </property>
  <property fmtid="{D5CDD505-2E9C-101B-9397-08002B2CF9AE}" pid="3" name="_NewReviewCycle">
    <vt:lpwstr/>
  </property>
  <property fmtid="{D5CDD505-2E9C-101B-9397-08002B2CF9AE}" pid="4" name="Involved Party">
    <vt:lpwstr/>
  </property>
  <property fmtid="{D5CDD505-2E9C-101B-9397-08002B2CF9AE}" pid="5" name="Publication Date">
    <vt:lpwstr>2015-07-29T00:00:00Z</vt:lpwstr>
  </property>
  <property fmtid="{D5CDD505-2E9C-101B-9397-08002B2CF9AE}" pid="6" name="lf7ec453acb346f5b4feea7d032d6f2c">
    <vt:lpwstr>Quantitative impact studies|dbd56a31-1a4a-4078-ae18-dc8cb9fd1869;Surveys|62b18434-7914-471c-8468-f91c3fa559d8</vt:lpwstr>
  </property>
  <property fmtid="{D5CDD505-2E9C-101B-9397-08002B2CF9AE}" pid="7" name="m4764fd034b84a6e893e168ee26c887c">
    <vt:lpwstr/>
  </property>
  <property fmtid="{D5CDD505-2E9C-101B-9397-08002B2CF9AE}" pid="8" name="Document Topic">
    <vt:lpwstr/>
  </property>
  <property fmtid="{D5CDD505-2E9C-101B-9397-08002B2CF9AE}" pid="9" name="Document Type">
    <vt:lpwstr>65;#Quantitative impact studies|dbd56a31-1a4a-4078-ae18-dc8cb9fd1869;#48;#Surveys|62b18434-7914-471c-8468-f91c3fa559d8</vt:lpwstr>
  </property>
  <property fmtid="{D5CDD505-2E9C-101B-9397-08002B2CF9AE}" pid="10" name="obb4efe42ba0440ebcc21f478af52bc7">
    <vt:lpwstr/>
  </property>
  <property fmtid="{D5CDD505-2E9C-101B-9397-08002B2CF9AE}" pid="11" name="TaxCatchAll">
    <vt:lpwstr>65;#Quantitative impact studies|dbd56a31-1a4a-4078-ae18-dc8cb9fd1869;#48;#Surveys|62b18434-7914-471c-8468-f91c3fa559d8</vt:lpwstr>
  </property>
  <property fmtid="{D5CDD505-2E9C-101B-9397-08002B2CF9AE}" pid="12" name="b687f5c370784be381b55f490b18f6b4">
    <vt:lpwstr/>
  </property>
  <property fmtid="{D5CDD505-2E9C-101B-9397-08002B2CF9AE}" pid="13" name="e3b8259dbd224628b8b94cebb83fde6b">
    <vt:lpwstr/>
  </property>
  <property fmtid="{D5CDD505-2E9C-101B-9397-08002B2CF9AE}" pid="14" name="m4e5b9a57ee34142859f8aa69e31e7bd">
    <vt:lpwstr/>
  </property>
  <property fmtid="{D5CDD505-2E9C-101B-9397-08002B2CF9AE}" pid="15" name="StartDate">
    <vt:lpwstr>2015-07-28T00:00:00Z</vt:lpwstr>
  </property>
  <property fmtid="{D5CDD505-2E9C-101B-9397-08002B2CF9AE}" pid="16" name="_AdHocReviewCycleID">
    <vt:i4>-1549607592</vt:i4>
  </property>
</Properties>
</file>